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меню" sheetId="1" r:id="rId1"/>
    <sheet name="Лист2" sheetId="2" r:id="rId2"/>
    <sheet name="титул" sheetId="3" r:id="rId3"/>
  </sheets>
  <definedNames>
    <definedName name="_xlnm.Print_Area" localSheetId="0">меню!$A$1:$R$338</definedName>
  </definedNames>
  <calcPr calcId="145621"/>
</workbook>
</file>

<file path=xl/calcChain.xml><?xml version="1.0" encoding="utf-8"?>
<calcChain xmlns="http://schemas.openxmlformats.org/spreadsheetml/2006/main">
  <c r="R229" i="1" l="1"/>
  <c r="R184" i="1"/>
  <c r="R152" i="1"/>
  <c r="R127" i="1"/>
  <c r="R128" i="1" s="1"/>
  <c r="R72" i="1"/>
  <c r="L327" i="1"/>
  <c r="C327" i="1"/>
  <c r="R326" i="1"/>
  <c r="E326" i="1"/>
  <c r="J326" i="1" s="1"/>
  <c r="R325" i="1"/>
  <c r="M325" i="1"/>
  <c r="E325" i="1"/>
  <c r="H325" i="1" s="1"/>
  <c r="R324" i="1"/>
  <c r="E324" i="1"/>
  <c r="P324" i="1" s="1"/>
  <c r="R323" i="1"/>
  <c r="D323" i="1"/>
  <c r="E323" i="1" s="1"/>
  <c r="R322" i="1"/>
  <c r="E322" i="1"/>
  <c r="O322" i="1" s="1"/>
  <c r="R321" i="1"/>
  <c r="D321" i="1"/>
  <c r="K319" i="1"/>
  <c r="C319" i="1"/>
  <c r="R318" i="1"/>
  <c r="E318" i="1"/>
  <c r="N318" i="1" s="1"/>
  <c r="R317" i="1"/>
  <c r="E317" i="1"/>
  <c r="M317" i="1" s="1"/>
  <c r="R289" i="1"/>
  <c r="E289" i="1"/>
  <c r="M289" i="1" s="1"/>
  <c r="R287" i="1"/>
  <c r="D287" i="1"/>
  <c r="E287" i="1" s="1"/>
  <c r="C299" i="1"/>
  <c r="R286" i="1"/>
  <c r="D286" i="1"/>
  <c r="E286" i="1" s="1"/>
  <c r="O286" i="1" s="1"/>
  <c r="C233" i="1"/>
  <c r="R232" i="1"/>
  <c r="E232" i="1"/>
  <c r="M232" i="1" s="1"/>
  <c r="R248" i="1"/>
  <c r="E248" i="1"/>
  <c r="M248" i="1" s="1"/>
  <c r="R230" i="1"/>
  <c r="D230" i="1"/>
  <c r="E230" i="1" s="1"/>
  <c r="R231" i="1"/>
  <c r="D231" i="1"/>
  <c r="E231" i="1" s="1"/>
  <c r="M231" i="1" s="1"/>
  <c r="P229" i="1"/>
  <c r="O229" i="1"/>
  <c r="N229" i="1"/>
  <c r="M229" i="1"/>
  <c r="L229" i="1"/>
  <c r="J229" i="1"/>
  <c r="I229" i="1"/>
  <c r="H229" i="1"/>
  <c r="G229" i="1"/>
  <c r="F229" i="1"/>
  <c r="D229" i="1"/>
  <c r="L240" i="1"/>
  <c r="C240" i="1"/>
  <c r="R239" i="1"/>
  <c r="E239" i="1"/>
  <c r="I239" i="1" s="1"/>
  <c r="R238" i="1"/>
  <c r="E238" i="1"/>
  <c r="J238" i="1" s="1"/>
  <c r="R237" i="1"/>
  <c r="D237" i="1"/>
  <c r="E237" i="1" s="1"/>
  <c r="M237" i="1" s="1"/>
  <c r="R236" i="1"/>
  <c r="D236" i="1"/>
  <c r="E236" i="1" s="1"/>
  <c r="R235" i="1"/>
  <c r="D235" i="1"/>
  <c r="E52" i="1"/>
  <c r="E107" i="1"/>
  <c r="C210" i="1"/>
  <c r="R209" i="1"/>
  <c r="E209" i="1"/>
  <c r="P209" i="1" s="1"/>
  <c r="R208" i="1"/>
  <c r="D208" i="1"/>
  <c r="D210" i="1" s="1"/>
  <c r="D192" i="1"/>
  <c r="R191" i="1"/>
  <c r="E191" i="1"/>
  <c r="M191" i="1" s="1"/>
  <c r="R190" i="1"/>
  <c r="E190" i="1"/>
  <c r="H190" i="1" s="1"/>
  <c r="R189" i="1"/>
  <c r="E189" i="1"/>
  <c r="O189" i="1" s="1"/>
  <c r="R168" i="1"/>
  <c r="E168" i="1"/>
  <c r="M168" i="1" s="1"/>
  <c r="O166" i="1"/>
  <c r="N166" i="1"/>
  <c r="L166" i="1"/>
  <c r="K166" i="1"/>
  <c r="J166" i="1"/>
  <c r="G166" i="1"/>
  <c r="F166" i="1"/>
  <c r="D166" i="1"/>
  <c r="C166" i="1"/>
  <c r="R165" i="1"/>
  <c r="P165" i="1"/>
  <c r="P166" i="1" s="1"/>
  <c r="M165" i="1"/>
  <c r="M166" i="1" s="1"/>
  <c r="I165" i="1"/>
  <c r="I166" i="1" s="1"/>
  <c r="H165" i="1"/>
  <c r="H166" i="1" s="1"/>
  <c r="R164" i="1"/>
  <c r="E164" i="1"/>
  <c r="N164" i="1" s="1"/>
  <c r="R158" i="1"/>
  <c r="E158" i="1"/>
  <c r="G158" i="1" s="1"/>
  <c r="E149" i="1"/>
  <c r="I149" i="1" s="1"/>
  <c r="C153" i="1"/>
  <c r="R149" i="1"/>
  <c r="R151" i="1"/>
  <c r="D151" i="1"/>
  <c r="E151" i="1" s="1"/>
  <c r="P152" i="1"/>
  <c r="O152" i="1"/>
  <c r="N152" i="1"/>
  <c r="M152" i="1"/>
  <c r="L152" i="1"/>
  <c r="L153" i="1" s="1"/>
  <c r="J152" i="1"/>
  <c r="I152" i="1"/>
  <c r="H152" i="1"/>
  <c r="G152" i="1"/>
  <c r="F152" i="1"/>
  <c r="D152" i="1"/>
  <c r="R150" i="1"/>
  <c r="D150" i="1"/>
  <c r="E150" i="1" s="1"/>
  <c r="M150" i="1" s="1"/>
  <c r="R148" i="1"/>
  <c r="E148" i="1"/>
  <c r="P148" i="1" s="1"/>
  <c r="D11" i="1"/>
  <c r="D43" i="1"/>
  <c r="D92" i="1"/>
  <c r="E123" i="1"/>
  <c r="M123" i="1" s="1"/>
  <c r="E130" i="1"/>
  <c r="L134" i="1"/>
  <c r="G134" i="1"/>
  <c r="D134" i="1"/>
  <c r="R133" i="1"/>
  <c r="P133" i="1"/>
  <c r="M133" i="1"/>
  <c r="I133" i="1"/>
  <c r="H133" i="1"/>
  <c r="R132" i="1"/>
  <c r="P132" i="1"/>
  <c r="O132" i="1"/>
  <c r="O134" i="1" s="1"/>
  <c r="N132" i="1"/>
  <c r="N134" i="1" s="1"/>
  <c r="M132" i="1"/>
  <c r="K132" i="1"/>
  <c r="K134" i="1" s="1"/>
  <c r="J132" i="1"/>
  <c r="J134" i="1" s="1"/>
  <c r="I132" i="1"/>
  <c r="H132" i="1"/>
  <c r="F132" i="1"/>
  <c r="F134" i="1" s="1"/>
  <c r="K128" i="1"/>
  <c r="C128" i="1"/>
  <c r="D127" i="1"/>
  <c r="D128" i="1" s="1"/>
  <c r="K125" i="1"/>
  <c r="C125" i="1"/>
  <c r="R124" i="1"/>
  <c r="E124" i="1"/>
  <c r="N124" i="1" s="1"/>
  <c r="R123" i="1"/>
  <c r="I325" i="1" l="1"/>
  <c r="N325" i="1"/>
  <c r="N322" i="1"/>
  <c r="M324" i="1"/>
  <c r="H322" i="1"/>
  <c r="I322" i="1"/>
  <c r="D327" i="1"/>
  <c r="P322" i="1"/>
  <c r="R327" i="1"/>
  <c r="N324" i="1"/>
  <c r="K322" i="1"/>
  <c r="G324" i="1"/>
  <c r="F322" i="1"/>
  <c r="M322" i="1"/>
  <c r="H324" i="1"/>
  <c r="O323" i="1"/>
  <c r="J323" i="1"/>
  <c r="N323" i="1"/>
  <c r="I323" i="1"/>
  <c r="M323" i="1"/>
  <c r="H323" i="1"/>
  <c r="P323" i="1"/>
  <c r="K323" i="1"/>
  <c r="F323" i="1"/>
  <c r="E321" i="1"/>
  <c r="J325" i="1"/>
  <c r="O325" i="1"/>
  <c r="G326" i="1"/>
  <c r="I324" i="1"/>
  <c r="O324" i="1"/>
  <c r="F325" i="1"/>
  <c r="K325" i="1"/>
  <c r="P325" i="1"/>
  <c r="I326" i="1"/>
  <c r="J322" i="1"/>
  <c r="F324" i="1"/>
  <c r="J324" i="1"/>
  <c r="H317" i="1"/>
  <c r="N317" i="1"/>
  <c r="N319" i="1" s="1"/>
  <c r="R319" i="1"/>
  <c r="I318" i="1"/>
  <c r="O318" i="1"/>
  <c r="I317" i="1"/>
  <c r="O317" i="1"/>
  <c r="F318" i="1"/>
  <c r="L318" i="1"/>
  <c r="L319" i="1" s="1"/>
  <c r="P318" i="1"/>
  <c r="F317" i="1"/>
  <c r="J317" i="1"/>
  <c r="J319" i="1" s="1"/>
  <c r="P317" i="1"/>
  <c r="G318" i="1"/>
  <c r="M318" i="1"/>
  <c r="M319" i="1" s="1"/>
  <c r="G317" i="1"/>
  <c r="H318" i="1"/>
  <c r="H289" i="1"/>
  <c r="N289" i="1"/>
  <c r="I289" i="1"/>
  <c r="O289" i="1"/>
  <c r="F289" i="1"/>
  <c r="L289" i="1"/>
  <c r="P289" i="1"/>
  <c r="G289" i="1"/>
  <c r="M287" i="1"/>
  <c r="H287" i="1"/>
  <c r="P287" i="1"/>
  <c r="K287" i="1"/>
  <c r="F287" i="1"/>
  <c r="O287" i="1"/>
  <c r="J287" i="1"/>
  <c r="N287" i="1"/>
  <c r="I287" i="1"/>
  <c r="J286" i="1"/>
  <c r="P286" i="1"/>
  <c r="F286" i="1"/>
  <c r="M286" i="1"/>
  <c r="G286" i="1"/>
  <c r="N286" i="1"/>
  <c r="I286" i="1"/>
  <c r="H134" i="1"/>
  <c r="R134" i="1"/>
  <c r="R233" i="1"/>
  <c r="D233" i="1"/>
  <c r="K248" i="1"/>
  <c r="F248" i="1"/>
  <c r="N248" i="1"/>
  <c r="H232" i="1"/>
  <c r="G248" i="1"/>
  <c r="O248" i="1"/>
  <c r="N232" i="1"/>
  <c r="D240" i="1"/>
  <c r="J248" i="1"/>
  <c r="I232" i="1"/>
  <c r="O232" i="1"/>
  <c r="F232" i="1"/>
  <c r="L232" i="1"/>
  <c r="L233" i="1" s="1"/>
  <c r="P232" i="1"/>
  <c r="G232" i="1"/>
  <c r="H248" i="1"/>
  <c r="L248" i="1"/>
  <c r="P248" i="1"/>
  <c r="I248" i="1"/>
  <c r="M230" i="1"/>
  <c r="M233" i="1" s="1"/>
  <c r="H230" i="1"/>
  <c r="P230" i="1"/>
  <c r="K230" i="1"/>
  <c r="F230" i="1"/>
  <c r="E233" i="1"/>
  <c r="O230" i="1"/>
  <c r="J230" i="1"/>
  <c r="N230" i="1"/>
  <c r="I230" i="1"/>
  <c r="I231" i="1"/>
  <c r="N231" i="1"/>
  <c r="F231" i="1"/>
  <c r="J231" i="1"/>
  <c r="O231" i="1"/>
  <c r="G231" i="1"/>
  <c r="G233" i="1" s="1"/>
  <c r="K231" i="1"/>
  <c r="P231" i="1"/>
  <c r="H231" i="1"/>
  <c r="R240" i="1"/>
  <c r="R210" i="1"/>
  <c r="J239" i="1"/>
  <c r="N236" i="1"/>
  <c r="I236" i="1"/>
  <c r="M236" i="1"/>
  <c r="H236" i="1"/>
  <c r="P236" i="1"/>
  <c r="K236" i="1"/>
  <c r="G236" i="1"/>
  <c r="O236" i="1"/>
  <c r="J236" i="1"/>
  <c r="F236" i="1"/>
  <c r="I237" i="1"/>
  <c r="N237" i="1"/>
  <c r="F237" i="1"/>
  <c r="J237" i="1"/>
  <c r="O237" i="1"/>
  <c r="G238" i="1"/>
  <c r="E235" i="1"/>
  <c r="G237" i="1"/>
  <c r="K237" i="1"/>
  <c r="P237" i="1"/>
  <c r="I238" i="1"/>
  <c r="G239" i="1"/>
  <c r="H237" i="1"/>
  <c r="P189" i="1"/>
  <c r="R192" i="1"/>
  <c r="R166" i="1"/>
  <c r="M209" i="1"/>
  <c r="N209" i="1"/>
  <c r="G209" i="1"/>
  <c r="H209" i="1"/>
  <c r="E208" i="1"/>
  <c r="I209" i="1"/>
  <c r="O209" i="1"/>
  <c r="F209" i="1"/>
  <c r="L209" i="1"/>
  <c r="L210" i="1" s="1"/>
  <c r="H123" i="1"/>
  <c r="R153" i="1"/>
  <c r="H164" i="1"/>
  <c r="H189" i="1"/>
  <c r="N123" i="1"/>
  <c r="N125" i="1" s="1"/>
  <c r="I134" i="1"/>
  <c r="J158" i="1"/>
  <c r="K164" i="1"/>
  <c r="L189" i="1"/>
  <c r="J168" i="1"/>
  <c r="O168" i="1"/>
  <c r="G149" i="1"/>
  <c r="F168" i="1"/>
  <c r="K168" i="1"/>
  <c r="P168" i="1"/>
  <c r="I190" i="1"/>
  <c r="O164" i="1"/>
  <c r="G168" i="1"/>
  <c r="L168" i="1"/>
  <c r="M190" i="1"/>
  <c r="I158" i="1"/>
  <c r="G164" i="1"/>
  <c r="P164" i="1"/>
  <c r="H168" i="1"/>
  <c r="N168" i="1"/>
  <c r="I191" i="1"/>
  <c r="N191" i="1"/>
  <c r="I189" i="1"/>
  <c r="M189" i="1"/>
  <c r="F191" i="1"/>
  <c r="J191" i="1"/>
  <c r="O191" i="1"/>
  <c r="O192" i="1" s="1"/>
  <c r="F189" i="1"/>
  <c r="J189" i="1"/>
  <c r="N189" i="1"/>
  <c r="N192" i="1" s="1"/>
  <c r="P190" i="1"/>
  <c r="G191" i="1"/>
  <c r="L191" i="1"/>
  <c r="P191" i="1"/>
  <c r="G189" i="1"/>
  <c r="K189" i="1"/>
  <c r="K192" i="1" s="1"/>
  <c r="H191" i="1"/>
  <c r="I168" i="1"/>
  <c r="J149" i="1"/>
  <c r="L164" i="1"/>
  <c r="I164" i="1"/>
  <c r="M164" i="1"/>
  <c r="F164" i="1"/>
  <c r="J164" i="1"/>
  <c r="D153" i="1"/>
  <c r="E153" i="1"/>
  <c r="M151" i="1"/>
  <c r="H151" i="1"/>
  <c r="P151" i="1"/>
  <c r="K151" i="1"/>
  <c r="F151" i="1"/>
  <c r="O151" i="1"/>
  <c r="J151" i="1"/>
  <c r="N151" i="1"/>
  <c r="I151" i="1"/>
  <c r="I150" i="1"/>
  <c r="N150" i="1"/>
  <c r="F150" i="1"/>
  <c r="J150" i="1"/>
  <c r="O150" i="1"/>
  <c r="G150" i="1"/>
  <c r="K150" i="1"/>
  <c r="P150" i="1"/>
  <c r="H150" i="1"/>
  <c r="I123" i="1"/>
  <c r="O123" i="1"/>
  <c r="M134" i="1"/>
  <c r="H148" i="1"/>
  <c r="H153" i="1" s="1"/>
  <c r="F123" i="1"/>
  <c r="J123" i="1"/>
  <c r="J125" i="1" s="1"/>
  <c r="P123" i="1"/>
  <c r="M148" i="1"/>
  <c r="G123" i="1"/>
  <c r="I148" i="1"/>
  <c r="N148" i="1"/>
  <c r="F148" i="1"/>
  <c r="J148" i="1"/>
  <c r="O148" i="1"/>
  <c r="G148" i="1"/>
  <c r="K148" i="1"/>
  <c r="P134" i="1"/>
  <c r="E127" i="1"/>
  <c r="E128" i="1" s="1"/>
  <c r="R125" i="1"/>
  <c r="I124" i="1"/>
  <c r="O124" i="1"/>
  <c r="F124" i="1"/>
  <c r="L124" i="1"/>
  <c r="L125" i="1" s="1"/>
  <c r="P124" i="1"/>
  <c r="G124" i="1"/>
  <c r="G125" i="1" s="1"/>
  <c r="M124" i="1"/>
  <c r="M125" i="1" s="1"/>
  <c r="H124" i="1"/>
  <c r="R93" i="1"/>
  <c r="D93" i="1"/>
  <c r="E93" i="1" s="1"/>
  <c r="M93" i="1" s="1"/>
  <c r="R102" i="1"/>
  <c r="E102" i="1"/>
  <c r="G102" i="1" s="1"/>
  <c r="R95" i="1"/>
  <c r="E95" i="1"/>
  <c r="M95" i="1" s="1"/>
  <c r="D80" i="1"/>
  <c r="R79" i="1"/>
  <c r="E79" i="1"/>
  <c r="N79" i="1" s="1"/>
  <c r="R78" i="1"/>
  <c r="E78" i="1"/>
  <c r="I78" i="1" s="1"/>
  <c r="R77" i="1"/>
  <c r="E77" i="1"/>
  <c r="P77" i="1" s="1"/>
  <c r="C70" i="1"/>
  <c r="R69" i="1"/>
  <c r="E69" i="1"/>
  <c r="P69" i="1" s="1"/>
  <c r="R68" i="1"/>
  <c r="D68" i="1"/>
  <c r="D70" i="1" s="1"/>
  <c r="R43" i="1"/>
  <c r="E43" i="1"/>
  <c r="R38" i="1"/>
  <c r="E38" i="1"/>
  <c r="I38" i="1" s="1"/>
  <c r="R25" i="1"/>
  <c r="E25" i="1"/>
  <c r="M25" i="1" s="1"/>
  <c r="L41" i="1"/>
  <c r="C41" i="1"/>
  <c r="R40" i="1"/>
  <c r="E40" i="1"/>
  <c r="J40" i="1" s="1"/>
  <c r="R39" i="1"/>
  <c r="D39" i="1"/>
  <c r="E39" i="1" s="1"/>
  <c r="M39" i="1" s="1"/>
  <c r="R37" i="1"/>
  <c r="D37" i="1"/>
  <c r="E37" i="1" s="1"/>
  <c r="O23" i="1"/>
  <c r="N23" i="1"/>
  <c r="L23" i="1"/>
  <c r="K23" i="1"/>
  <c r="J23" i="1"/>
  <c r="G23" i="1"/>
  <c r="F23" i="1"/>
  <c r="D23" i="1"/>
  <c r="C23" i="1"/>
  <c r="R22" i="1"/>
  <c r="P22" i="1"/>
  <c r="P23" i="1" s="1"/>
  <c r="M22" i="1"/>
  <c r="M23" i="1" s="1"/>
  <c r="I22" i="1"/>
  <c r="I23" i="1" s="1"/>
  <c r="H22" i="1"/>
  <c r="H23" i="1" s="1"/>
  <c r="R21" i="1"/>
  <c r="E21" i="1"/>
  <c r="P21" i="1" s="1"/>
  <c r="L17" i="1"/>
  <c r="C17" i="1"/>
  <c r="R16" i="1"/>
  <c r="E16" i="1"/>
  <c r="J16" i="1" s="1"/>
  <c r="R15" i="1"/>
  <c r="M15" i="1"/>
  <c r="E15" i="1"/>
  <c r="H15" i="1" s="1"/>
  <c r="R14" i="1"/>
  <c r="E14" i="1"/>
  <c r="P14" i="1" s="1"/>
  <c r="R13" i="1"/>
  <c r="D13" i="1"/>
  <c r="E13" i="1" s="1"/>
  <c r="R12" i="1"/>
  <c r="E12" i="1"/>
  <c r="O12" i="1" s="1"/>
  <c r="R11" i="1"/>
  <c r="E11" i="1"/>
  <c r="K9" i="1"/>
  <c r="D9" i="1"/>
  <c r="C9" i="1"/>
  <c r="R8" i="1"/>
  <c r="E8" i="1"/>
  <c r="N8" i="1" s="1"/>
  <c r="R7" i="1"/>
  <c r="P7" i="1"/>
  <c r="O7" i="1"/>
  <c r="N7" i="1"/>
  <c r="M7" i="1"/>
  <c r="J7" i="1"/>
  <c r="J9" i="1" s="1"/>
  <c r="I7" i="1"/>
  <c r="H7" i="1"/>
  <c r="G7" i="1"/>
  <c r="F7" i="1"/>
  <c r="I319" i="1" l="1"/>
  <c r="H319" i="1"/>
  <c r="H327" i="1"/>
  <c r="K327" i="1"/>
  <c r="E327" i="1"/>
  <c r="N321" i="1"/>
  <c r="N327" i="1" s="1"/>
  <c r="G321" i="1"/>
  <c r="G327" i="1" s="1"/>
  <c r="M321" i="1"/>
  <c r="M327" i="1" s="1"/>
  <c r="F321" i="1"/>
  <c r="F327" i="1" s="1"/>
  <c r="P321" i="1"/>
  <c r="P327" i="1" s="1"/>
  <c r="J321" i="1"/>
  <c r="J327" i="1" s="1"/>
  <c r="O321" i="1"/>
  <c r="O327" i="1" s="1"/>
  <c r="I321" i="1"/>
  <c r="I327" i="1" s="1"/>
  <c r="P233" i="1"/>
  <c r="P319" i="1"/>
  <c r="G319" i="1"/>
  <c r="F319" i="1"/>
  <c r="O319" i="1"/>
  <c r="J233" i="1"/>
  <c r="K233" i="1"/>
  <c r="O233" i="1"/>
  <c r="I233" i="1"/>
  <c r="H233" i="1"/>
  <c r="N233" i="1"/>
  <c r="F233" i="1"/>
  <c r="F125" i="1"/>
  <c r="O235" i="1"/>
  <c r="O240" i="1" s="1"/>
  <c r="J235" i="1"/>
  <c r="J240" i="1" s="1"/>
  <c r="F235" i="1"/>
  <c r="F240" i="1" s="1"/>
  <c r="N235" i="1"/>
  <c r="N240" i="1" s="1"/>
  <c r="I235" i="1"/>
  <c r="I240" i="1" s="1"/>
  <c r="M235" i="1"/>
  <c r="M240" i="1" s="1"/>
  <c r="H235" i="1"/>
  <c r="H240" i="1" s="1"/>
  <c r="E240" i="1"/>
  <c r="P235" i="1"/>
  <c r="P240" i="1" s="1"/>
  <c r="K235" i="1"/>
  <c r="K240" i="1" s="1"/>
  <c r="G235" i="1"/>
  <c r="G240" i="1" s="1"/>
  <c r="H125" i="1"/>
  <c r="O153" i="1"/>
  <c r="L192" i="1"/>
  <c r="E210" i="1"/>
  <c r="O208" i="1"/>
  <c r="O210" i="1" s="1"/>
  <c r="J208" i="1"/>
  <c r="J210" i="1" s="1"/>
  <c r="F208" i="1"/>
  <c r="F210" i="1" s="1"/>
  <c r="N208" i="1"/>
  <c r="N210" i="1" s="1"/>
  <c r="I208" i="1"/>
  <c r="I210" i="1" s="1"/>
  <c r="M208" i="1"/>
  <c r="M210" i="1" s="1"/>
  <c r="H208" i="1"/>
  <c r="H210" i="1" s="1"/>
  <c r="P208" i="1"/>
  <c r="P210" i="1" s="1"/>
  <c r="K208" i="1"/>
  <c r="K210" i="1" s="1"/>
  <c r="G208" i="1"/>
  <c r="G210" i="1" s="1"/>
  <c r="J153" i="1"/>
  <c r="H192" i="1"/>
  <c r="I153" i="1"/>
  <c r="P192" i="1"/>
  <c r="P125" i="1"/>
  <c r="M153" i="1"/>
  <c r="J192" i="1"/>
  <c r="M192" i="1"/>
  <c r="F192" i="1"/>
  <c r="G192" i="1"/>
  <c r="I192" i="1"/>
  <c r="I125" i="1"/>
  <c r="K153" i="1"/>
  <c r="F153" i="1"/>
  <c r="G153" i="1"/>
  <c r="N153" i="1"/>
  <c r="P153" i="1"/>
  <c r="O125" i="1"/>
  <c r="O127" i="1"/>
  <c r="O128" i="1" s="1"/>
  <c r="J127" i="1"/>
  <c r="J128" i="1" s="1"/>
  <c r="F127" i="1"/>
  <c r="F128" i="1" s="1"/>
  <c r="N127" i="1"/>
  <c r="N128" i="1" s="1"/>
  <c r="I127" i="1"/>
  <c r="I128" i="1" s="1"/>
  <c r="M127" i="1"/>
  <c r="M128" i="1" s="1"/>
  <c r="H127" i="1"/>
  <c r="H128" i="1" s="1"/>
  <c r="P127" i="1"/>
  <c r="P128" i="1" s="1"/>
  <c r="L127" i="1"/>
  <c r="L128" i="1" s="1"/>
  <c r="G127" i="1"/>
  <c r="G128" i="1" s="1"/>
  <c r="J102" i="1"/>
  <c r="I102" i="1"/>
  <c r="I93" i="1"/>
  <c r="N93" i="1"/>
  <c r="F93" i="1"/>
  <c r="J93" i="1"/>
  <c r="O93" i="1"/>
  <c r="G93" i="1"/>
  <c r="K93" i="1"/>
  <c r="P93" i="1"/>
  <c r="H93" i="1"/>
  <c r="I95" i="1"/>
  <c r="N95" i="1"/>
  <c r="F95" i="1"/>
  <c r="J95" i="1"/>
  <c r="O95" i="1"/>
  <c r="G95" i="1"/>
  <c r="K95" i="1"/>
  <c r="P95" i="1"/>
  <c r="H95" i="1"/>
  <c r="L79" i="1"/>
  <c r="R70" i="1"/>
  <c r="O79" i="1"/>
  <c r="F79" i="1"/>
  <c r="H79" i="1"/>
  <c r="R41" i="1"/>
  <c r="J25" i="1"/>
  <c r="R80" i="1"/>
  <c r="J79" i="1"/>
  <c r="P79" i="1"/>
  <c r="M78" i="1"/>
  <c r="G79" i="1"/>
  <c r="M79" i="1"/>
  <c r="I77" i="1"/>
  <c r="M77" i="1"/>
  <c r="F77" i="1"/>
  <c r="F80" i="1" s="1"/>
  <c r="J77" i="1"/>
  <c r="N77" i="1"/>
  <c r="N80" i="1" s="1"/>
  <c r="P78" i="1"/>
  <c r="G77" i="1"/>
  <c r="G80" i="1" s="1"/>
  <c r="K77" i="1"/>
  <c r="K80" i="1" s="1"/>
  <c r="O77" i="1"/>
  <c r="H78" i="1"/>
  <c r="H77" i="1"/>
  <c r="L77" i="1"/>
  <c r="L80" i="1" s="1"/>
  <c r="I79" i="1"/>
  <c r="M69" i="1"/>
  <c r="N69" i="1"/>
  <c r="G69" i="1"/>
  <c r="J38" i="1"/>
  <c r="H69" i="1"/>
  <c r="E68" i="1"/>
  <c r="I69" i="1"/>
  <c r="O69" i="1"/>
  <c r="F69" i="1"/>
  <c r="L69" i="1"/>
  <c r="L70" i="1" s="1"/>
  <c r="G38" i="1"/>
  <c r="F25" i="1"/>
  <c r="N25" i="1"/>
  <c r="P43" i="1"/>
  <c r="J43" i="1"/>
  <c r="O43" i="1"/>
  <c r="I43" i="1"/>
  <c r="N43" i="1"/>
  <c r="G43" i="1"/>
  <c r="F43" i="1"/>
  <c r="M43" i="1"/>
  <c r="G25" i="1"/>
  <c r="K25" i="1"/>
  <c r="O25" i="1"/>
  <c r="H25" i="1"/>
  <c r="L25" i="1"/>
  <c r="P25" i="1"/>
  <c r="I25" i="1"/>
  <c r="N15" i="1"/>
  <c r="R23" i="1"/>
  <c r="E41" i="1"/>
  <c r="N37" i="1"/>
  <c r="I37" i="1"/>
  <c r="M37" i="1"/>
  <c r="M41" i="1" s="1"/>
  <c r="H37" i="1"/>
  <c r="P37" i="1"/>
  <c r="K37" i="1"/>
  <c r="G37" i="1"/>
  <c r="O37" i="1"/>
  <c r="J37" i="1"/>
  <c r="F37" i="1"/>
  <c r="I39" i="1"/>
  <c r="N39" i="1"/>
  <c r="F39" i="1"/>
  <c r="J39" i="1"/>
  <c r="O39" i="1"/>
  <c r="G40" i="1"/>
  <c r="G39" i="1"/>
  <c r="K39" i="1"/>
  <c r="P39" i="1"/>
  <c r="I40" i="1"/>
  <c r="D41" i="1"/>
  <c r="H39" i="1"/>
  <c r="I15" i="1"/>
  <c r="M14" i="1"/>
  <c r="E17" i="1"/>
  <c r="I21" i="1"/>
  <c r="M21" i="1"/>
  <c r="F21" i="1"/>
  <c r="J21" i="1"/>
  <c r="N21" i="1"/>
  <c r="G21" i="1"/>
  <c r="K21" i="1"/>
  <c r="O21" i="1"/>
  <c r="H21" i="1"/>
  <c r="L21" i="1"/>
  <c r="M12" i="1"/>
  <c r="P12" i="1"/>
  <c r="N14" i="1"/>
  <c r="H12" i="1"/>
  <c r="G14" i="1"/>
  <c r="R17" i="1"/>
  <c r="K12" i="1"/>
  <c r="H14" i="1"/>
  <c r="O13" i="1"/>
  <c r="J13" i="1"/>
  <c r="N13" i="1"/>
  <c r="I13" i="1"/>
  <c r="M13" i="1"/>
  <c r="H13" i="1"/>
  <c r="P13" i="1"/>
  <c r="K13" i="1"/>
  <c r="F13" i="1"/>
  <c r="J11" i="1"/>
  <c r="P11" i="1"/>
  <c r="F11" i="1"/>
  <c r="M11" i="1"/>
  <c r="M17" i="1" s="1"/>
  <c r="J15" i="1"/>
  <c r="O15" i="1"/>
  <c r="G16" i="1"/>
  <c r="G11" i="1"/>
  <c r="N11" i="1"/>
  <c r="I12" i="1"/>
  <c r="N12" i="1"/>
  <c r="I14" i="1"/>
  <c r="O14" i="1"/>
  <c r="F15" i="1"/>
  <c r="K15" i="1"/>
  <c r="P15" i="1"/>
  <c r="I16" i="1"/>
  <c r="D17" i="1"/>
  <c r="I11" i="1"/>
  <c r="O11" i="1"/>
  <c r="F12" i="1"/>
  <c r="J12" i="1"/>
  <c r="F14" i="1"/>
  <c r="J14" i="1"/>
  <c r="R9" i="1"/>
  <c r="N9" i="1"/>
  <c r="F8" i="1"/>
  <c r="F9" i="1" s="1"/>
  <c r="L8" i="1"/>
  <c r="L9" i="1" s="1"/>
  <c r="P8" i="1"/>
  <c r="P9" i="1" s="1"/>
  <c r="O8" i="1"/>
  <c r="O9" i="1" s="1"/>
  <c r="G8" i="1"/>
  <c r="G9" i="1" s="1"/>
  <c r="M8" i="1"/>
  <c r="M9" i="1" s="1"/>
  <c r="I8" i="1"/>
  <c r="I9" i="1" s="1"/>
  <c r="H8" i="1"/>
  <c r="H9" i="1" s="1"/>
  <c r="R97" i="1"/>
  <c r="M97" i="1"/>
  <c r="E97" i="1"/>
  <c r="P97" i="1" s="1"/>
  <c r="R48" i="1"/>
  <c r="M48" i="1"/>
  <c r="E48" i="1"/>
  <c r="P48" i="1" s="1"/>
  <c r="J80" i="1" l="1"/>
  <c r="O80" i="1"/>
  <c r="H80" i="1"/>
  <c r="P80" i="1"/>
  <c r="M80" i="1"/>
  <c r="I80" i="1"/>
  <c r="E70" i="1"/>
  <c r="O68" i="1"/>
  <c r="O70" i="1" s="1"/>
  <c r="J68" i="1"/>
  <c r="J70" i="1" s="1"/>
  <c r="F68" i="1"/>
  <c r="F70" i="1" s="1"/>
  <c r="N68" i="1"/>
  <c r="N70" i="1" s="1"/>
  <c r="I68" i="1"/>
  <c r="I70" i="1" s="1"/>
  <c r="M68" i="1"/>
  <c r="M70" i="1" s="1"/>
  <c r="H68" i="1"/>
  <c r="H70" i="1" s="1"/>
  <c r="P68" i="1"/>
  <c r="P70" i="1" s="1"/>
  <c r="K68" i="1"/>
  <c r="K70" i="1" s="1"/>
  <c r="G68" i="1"/>
  <c r="G70" i="1" s="1"/>
  <c r="O41" i="1"/>
  <c r="P41" i="1"/>
  <c r="N41" i="1"/>
  <c r="J41" i="1"/>
  <c r="H41" i="1"/>
  <c r="G41" i="1"/>
  <c r="F41" i="1"/>
  <c r="K41" i="1"/>
  <c r="I41" i="1"/>
  <c r="G17" i="1"/>
  <c r="K17" i="1"/>
  <c r="N17" i="1"/>
  <c r="H17" i="1"/>
  <c r="J17" i="1"/>
  <c r="O17" i="1"/>
  <c r="I17" i="1"/>
  <c r="F17" i="1"/>
  <c r="P17" i="1"/>
  <c r="H48" i="1"/>
  <c r="I97" i="1"/>
  <c r="H97" i="1"/>
  <c r="N48" i="1"/>
  <c r="I48" i="1"/>
  <c r="N97" i="1"/>
  <c r="J97" i="1"/>
  <c r="O97" i="1"/>
  <c r="F97" i="1"/>
  <c r="K97" i="1"/>
  <c r="J48" i="1"/>
  <c r="O48" i="1"/>
  <c r="F48" i="1"/>
  <c r="K48" i="1"/>
  <c r="R331" i="1" l="1"/>
  <c r="R303" i="1"/>
  <c r="R262" i="1"/>
  <c r="D204" i="1"/>
  <c r="R214" i="1"/>
  <c r="R204" i="1"/>
  <c r="R181" i="1"/>
  <c r="R92" i="1"/>
  <c r="R54" i="1"/>
  <c r="R47" i="1"/>
  <c r="E47" i="1" l="1"/>
  <c r="D288" i="1" l="1"/>
  <c r="C182" i="1"/>
  <c r="R307" i="1"/>
  <c r="R298" i="1"/>
  <c r="R297" i="1"/>
  <c r="R293" i="1"/>
  <c r="R288" i="1"/>
  <c r="R290" i="1" s="1"/>
  <c r="R276" i="1"/>
  <c r="R274" i="1"/>
  <c r="R250" i="1"/>
  <c r="R244" i="1"/>
  <c r="R205" i="1"/>
  <c r="R194" i="1"/>
  <c r="R180" i="1"/>
  <c r="R170" i="1"/>
  <c r="R159" i="1"/>
  <c r="R155" i="1"/>
  <c r="R138" i="1"/>
  <c r="R136" i="1"/>
  <c r="R109" i="1"/>
  <c r="R104" i="1"/>
  <c r="R98" i="1"/>
  <c r="R58" i="1"/>
  <c r="R44" i="1"/>
  <c r="R27" i="1"/>
  <c r="C111" i="1" l="1"/>
  <c r="E109" i="1"/>
  <c r="P109" i="1" s="1"/>
  <c r="E244" i="1"/>
  <c r="M244" i="1" s="1"/>
  <c r="I109" i="1" l="1"/>
  <c r="M109" i="1"/>
  <c r="J109" i="1"/>
  <c r="G109" i="1"/>
  <c r="K109" i="1"/>
  <c r="O109" i="1"/>
  <c r="F109" i="1"/>
  <c r="N109" i="1"/>
  <c r="H109" i="1"/>
  <c r="L109" i="1"/>
  <c r="L244" i="1"/>
  <c r="F244" i="1"/>
  <c r="N244" i="1"/>
  <c r="H244" i="1"/>
  <c r="P244" i="1"/>
  <c r="J244" i="1"/>
  <c r="G244" i="1"/>
  <c r="K244" i="1"/>
  <c r="O244" i="1"/>
  <c r="I244" i="1"/>
  <c r="E136" i="1"/>
  <c r="N136" i="1" s="1"/>
  <c r="R140" i="1"/>
  <c r="R130" i="1"/>
  <c r="R294" i="1"/>
  <c r="R295" i="1"/>
  <c r="R296" i="1"/>
  <c r="R301" i="1"/>
  <c r="R304" i="1"/>
  <c r="R309" i="1"/>
  <c r="E288" i="1"/>
  <c r="C290" i="1"/>
  <c r="L290" i="1"/>
  <c r="R292" i="1"/>
  <c r="D292" i="1"/>
  <c r="E292" i="1" s="1"/>
  <c r="O292" i="1" s="1"/>
  <c r="D296" i="1"/>
  <c r="D295" i="1"/>
  <c r="E295" i="1" s="1"/>
  <c r="J295" i="1" s="1"/>
  <c r="D294" i="1"/>
  <c r="E294" i="1" s="1"/>
  <c r="N294" i="1" s="1"/>
  <c r="R156" i="1"/>
  <c r="R157" i="1"/>
  <c r="R172" i="1"/>
  <c r="R162" i="1"/>
  <c r="R196" i="1"/>
  <c r="R187" i="1"/>
  <c r="R185" i="1"/>
  <c r="E92" i="1"/>
  <c r="E94" i="1"/>
  <c r="H94" i="1" s="1"/>
  <c r="D96" i="1"/>
  <c r="E96" i="1" s="1"/>
  <c r="O96" i="1" s="1"/>
  <c r="E98" i="1"/>
  <c r="I98" i="1" s="1"/>
  <c r="R113" i="1"/>
  <c r="R110" i="1"/>
  <c r="R111" i="1" s="1"/>
  <c r="R96" i="1"/>
  <c r="R94" i="1"/>
  <c r="R103" i="1"/>
  <c r="R101" i="1"/>
  <c r="R115" i="1"/>
  <c r="R107" i="1"/>
  <c r="L99" i="1"/>
  <c r="G94" i="1"/>
  <c r="C99" i="1"/>
  <c r="E181" i="1"/>
  <c r="N181" i="1" s="1"/>
  <c r="C50" i="1"/>
  <c r="R329" i="1"/>
  <c r="R332" i="1"/>
  <c r="R335" i="1"/>
  <c r="R337" i="1"/>
  <c r="P331" i="1"/>
  <c r="P332" i="1"/>
  <c r="O331" i="1"/>
  <c r="O333" i="1" s="1"/>
  <c r="N331" i="1"/>
  <c r="N333" i="1" s="1"/>
  <c r="M331" i="1"/>
  <c r="M332" i="1"/>
  <c r="L333" i="1"/>
  <c r="K331" i="1"/>
  <c r="K333" i="1" s="1"/>
  <c r="J331" i="1"/>
  <c r="J333" i="1" s="1"/>
  <c r="I331" i="1"/>
  <c r="I332" i="1"/>
  <c r="H331" i="1"/>
  <c r="H332" i="1"/>
  <c r="G333" i="1"/>
  <c r="F331" i="1"/>
  <c r="F333" i="1" s="1"/>
  <c r="D333" i="1"/>
  <c r="E337" i="1"/>
  <c r="E335" i="1"/>
  <c r="P335" i="1" s="1"/>
  <c r="P329" i="1"/>
  <c r="O329" i="1"/>
  <c r="N329" i="1"/>
  <c r="M329" i="1"/>
  <c r="J329" i="1"/>
  <c r="I329" i="1"/>
  <c r="H329" i="1"/>
  <c r="G329" i="1"/>
  <c r="F329" i="1"/>
  <c r="R218" i="1"/>
  <c r="E218" i="1"/>
  <c r="K218" i="1" s="1"/>
  <c r="E113" i="1"/>
  <c r="P113" i="1" s="1"/>
  <c r="E82" i="1"/>
  <c r="I82" i="1" s="1"/>
  <c r="E276" i="1"/>
  <c r="G276" i="1" s="1"/>
  <c r="E194" i="1"/>
  <c r="I194" i="1" s="1"/>
  <c r="E138" i="1"/>
  <c r="I138" i="1" s="1"/>
  <c r="E250" i="1"/>
  <c r="H250" i="1" s="1"/>
  <c r="E293" i="1"/>
  <c r="K293" i="1" s="1"/>
  <c r="M293" i="1"/>
  <c r="D298" i="1"/>
  <c r="E298" i="1" s="1"/>
  <c r="P298" i="1" s="1"/>
  <c r="E309" i="1"/>
  <c r="E307" i="1"/>
  <c r="O307" i="1" s="1"/>
  <c r="P303" i="1"/>
  <c r="P304" i="1"/>
  <c r="O303" i="1"/>
  <c r="O305" i="1" s="1"/>
  <c r="N303" i="1"/>
  <c r="N305" i="1" s="1"/>
  <c r="M303" i="1"/>
  <c r="M304" i="1"/>
  <c r="L305" i="1"/>
  <c r="K303" i="1"/>
  <c r="K305" i="1" s="1"/>
  <c r="J303" i="1"/>
  <c r="J305" i="1" s="1"/>
  <c r="I303" i="1"/>
  <c r="I304" i="1"/>
  <c r="H303" i="1"/>
  <c r="H304" i="1"/>
  <c r="G305" i="1"/>
  <c r="F303" i="1"/>
  <c r="F305" i="1" s="1"/>
  <c r="D305" i="1"/>
  <c r="P301" i="1"/>
  <c r="O301" i="1"/>
  <c r="N301" i="1"/>
  <c r="M301" i="1"/>
  <c r="J301" i="1"/>
  <c r="I301" i="1"/>
  <c r="H301" i="1"/>
  <c r="G301" i="1"/>
  <c r="F301" i="1"/>
  <c r="L299" i="1"/>
  <c r="E297" i="1"/>
  <c r="J297" i="1" s="1"/>
  <c r="R265" i="1"/>
  <c r="R266" i="1"/>
  <c r="R267" i="1"/>
  <c r="R260" i="1"/>
  <c r="R261" i="1"/>
  <c r="R278" i="1"/>
  <c r="R270" i="1"/>
  <c r="R272" i="1"/>
  <c r="E274" i="1"/>
  <c r="N274" i="1" s="1"/>
  <c r="E272" i="1"/>
  <c r="I272" i="1" s="1"/>
  <c r="E267" i="1"/>
  <c r="N267" i="1" s="1"/>
  <c r="E266" i="1"/>
  <c r="P266" i="1" s="1"/>
  <c r="E265" i="1"/>
  <c r="N265" i="1" s="1"/>
  <c r="E262" i="1"/>
  <c r="M262" i="1" s="1"/>
  <c r="E260" i="1"/>
  <c r="P260" i="1" s="1"/>
  <c r="E261" i="1"/>
  <c r="P261" i="1" s="1"/>
  <c r="E278" i="1"/>
  <c r="P270" i="1"/>
  <c r="O270" i="1"/>
  <c r="N270" i="1"/>
  <c r="M270" i="1"/>
  <c r="J270" i="1"/>
  <c r="I270" i="1"/>
  <c r="H270" i="1"/>
  <c r="G270" i="1"/>
  <c r="F270" i="1"/>
  <c r="D268" i="1"/>
  <c r="K263" i="1"/>
  <c r="R242" i="1"/>
  <c r="R245" i="1"/>
  <c r="R246" i="1" s="1"/>
  <c r="R252" i="1"/>
  <c r="P245" i="1"/>
  <c r="M245" i="1"/>
  <c r="L246" i="1"/>
  <c r="I245" i="1"/>
  <c r="H245" i="1"/>
  <c r="G246" i="1"/>
  <c r="D246" i="1"/>
  <c r="E252" i="1"/>
  <c r="P242" i="1"/>
  <c r="O242" i="1"/>
  <c r="N242" i="1"/>
  <c r="M242" i="1"/>
  <c r="J242" i="1"/>
  <c r="I242" i="1"/>
  <c r="H242" i="1"/>
  <c r="G242" i="1"/>
  <c r="F242" i="1"/>
  <c r="R45" i="1"/>
  <c r="R46" i="1"/>
  <c r="R49" i="1"/>
  <c r="R52" i="1"/>
  <c r="R55" i="1"/>
  <c r="R60" i="1"/>
  <c r="P47" i="1"/>
  <c r="O47" i="1"/>
  <c r="N47" i="1"/>
  <c r="M47" i="1"/>
  <c r="L47" i="1"/>
  <c r="L50" i="1" s="1"/>
  <c r="I47" i="1"/>
  <c r="H47" i="1"/>
  <c r="G47" i="1"/>
  <c r="F47" i="1"/>
  <c r="E204" i="1"/>
  <c r="E205" i="1"/>
  <c r="J205" i="1" s="1"/>
  <c r="H206" i="1"/>
  <c r="C206" i="1"/>
  <c r="R212" i="1"/>
  <c r="R215" i="1"/>
  <c r="R220" i="1"/>
  <c r="E220" i="1"/>
  <c r="P214" i="1"/>
  <c r="P215" i="1"/>
  <c r="O214" i="1"/>
  <c r="O216" i="1" s="1"/>
  <c r="N214" i="1"/>
  <c r="N216" i="1" s="1"/>
  <c r="M214" i="1"/>
  <c r="M215" i="1"/>
  <c r="L216" i="1"/>
  <c r="K214" i="1"/>
  <c r="K216" i="1" s="1"/>
  <c r="J214" i="1"/>
  <c r="J216" i="1" s="1"/>
  <c r="I214" i="1"/>
  <c r="I215" i="1"/>
  <c r="H214" i="1"/>
  <c r="H215" i="1"/>
  <c r="G216" i="1"/>
  <c r="F214" i="1"/>
  <c r="F216" i="1" s="1"/>
  <c r="D216" i="1"/>
  <c r="P212" i="1"/>
  <c r="O212" i="1"/>
  <c r="N212" i="1"/>
  <c r="M212" i="1"/>
  <c r="J212" i="1"/>
  <c r="I212" i="1"/>
  <c r="H212" i="1"/>
  <c r="G212" i="1"/>
  <c r="F212" i="1"/>
  <c r="D206" i="1"/>
  <c r="C185" i="1"/>
  <c r="D184" i="1"/>
  <c r="E180" i="1"/>
  <c r="P180" i="1" s="1"/>
  <c r="E196" i="1"/>
  <c r="P187" i="1"/>
  <c r="O187" i="1"/>
  <c r="N187" i="1"/>
  <c r="M187" i="1"/>
  <c r="J187" i="1"/>
  <c r="I187" i="1"/>
  <c r="H187" i="1"/>
  <c r="G187" i="1"/>
  <c r="F187" i="1"/>
  <c r="K185" i="1"/>
  <c r="K182" i="1"/>
  <c r="D182" i="1"/>
  <c r="P170" i="1"/>
  <c r="O170" i="1"/>
  <c r="N170" i="1"/>
  <c r="M170" i="1"/>
  <c r="K170" i="1"/>
  <c r="J170" i="1"/>
  <c r="I170" i="1"/>
  <c r="H170" i="1"/>
  <c r="G170" i="1"/>
  <c r="F170" i="1"/>
  <c r="D155" i="1"/>
  <c r="E155" i="1" s="1"/>
  <c r="D156" i="1"/>
  <c r="E156" i="1" s="1"/>
  <c r="D157" i="1"/>
  <c r="E157" i="1" s="1"/>
  <c r="I157" i="1" s="1"/>
  <c r="L160" i="1"/>
  <c r="E159" i="1"/>
  <c r="J159" i="1" s="1"/>
  <c r="C160" i="1"/>
  <c r="E172" i="1"/>
  <c r="P162" i="1"/>
  <c r="O162" i="1"/>
  <c r="N162" i="1"/>
  <c r="M162" i="1"/>
  <c r="J162" i="1"/>
  <c r="I162" i="1"/>
  <c r="H162" i="1"/>
  <c r="G162" i="1"/>
  <c r="F162" i="1"/>
  <c r="E140" i="1"/>
  <c r="P130" i="1"/>
  <c r="O130" i="1"/>
  <c r="N130" i="1"/>
  <c r="M130" i="1"/>
  <c r="J130" i="1"/>
  <c r="I130" i="1"/>
  <c r="H130" i="1"/>
  <c r="G130" i="1"/>
  <c r="F130" i="1"/>
  <c r="O111" i="1"/>
  <c r="H110" i="1"/>
  <c r="D101" i="1"/>
  <c r="D103" i="1"/>
  <c r="E103" i="1" s="1"/>
  <c r="L105" i="1"/>
  <c r="J104" i="1"/>
  <c r="I104" i="1"/>
  <c r="G104" i="1"/>
  <c r="C105" i="1"/>
  <c r="E115" i="1"/>
  <c r="P110" i="1"/>
  <c r="M110" i="1"/>
  <c r="L111" i="1"/>
  <c r="I110" i="1"/>
  <c r="G111" i="1"/>
  <c r="D111" i="1"/>
  <c r="P107" i="1"/>
  <c r="O107" i="1"/>
  <c r="N107" i="1"/>
  <c r="M107" i="1"/>
  <c r="J107" i="1"/>
  <c r="I107" i="1"/>
  <c r="H107" i="1"/>
  <c r="G107" i="1"/>
  <c r="F107" i="1"/>
  <c r="R82" i="1"/>
  <c r="R73" i="1"/>
  <c r="D72" i="1"/>
  <c r="D46" i="1"/>
  <c r="E46" i="1" s="1"/>
  <c r="P46" i="1" s="1"/>
  <c r="D45" i="1"/>
  <c r="E45" i="1" s="1"/>
  <c r="E49" i="1"/>
  <c r="M49" i="1" s="1"/>
  <c r="D44" i="1"/>
  <c r="E44" i="1" s="1"/>
  <c r="R75" i="1"/>
  <c r="R84" i="1"/>
  <c r="E84" i="1"/>
  <c r="P75" i="1"/>
  <c r="O75" i="1"/>
  <c r="N75" i="1"/>
  <c r="M75" i="1"/>
  <c r="J75" i="1"/>
  <c r="I75" i="1"/>
  <c r="H75" i="1"/>
  <c r="G75" i="1"/>
  <c r="F75" i="1"/>
  <c r="K73" i="1"/>
  <c r="C73" i="1"/>
  <c r="E60" i="1"/>
  <c r="E58" i="1"/>
  <c r="F58" i="1" s="1"/>
  <c r="R19" i="1"/>
  <c r="R29" i="1"/>
  <c r="E29" i="1"/>
  <c r="P52" i="1"/>
  <c r="O52" i="1"/>
  <c r="N52" i="1"/>
  <c r="M52" i="1"/>
  <c r="J52" i="1"/>
  <c r="I52" i="1"/>
  <c r="H52" i="1"/>
  <c r="G52" i="1"/>
  <c r="F52" i="1"/>
  <c r="P54" i="1"/>
  <c r="P55" i="1"/>
  <c r="O54" i="1"/>
  <c r="O56" i="1" s="1"/>
  <c r="N54" i="1"/>
  <c r="N56" i="1" s="1"/>
  <c r="M54" i="1"/>
  <c r="M55" i="1"/>
  <c r="L56" i="1"/>
  <c r="K54" i="1"/>
  <c r="K56" i="1" s="1"/>
  <c r="J54" i="1"/>
  <c r="J56" i="1" s="1"/>
  <c r="I54" i="1"/>
  <c r="I55" i="1"/>
  <c r="H54" i="1"/>
  <c r="H55" i="1"/>
  <c r="G56" i="1"/>
  <c r="F54" i="1"/>
  <c r="F56" i="1" s="1"/>
  <c r="D56" i="1"/>
  <c r="C56" i="1"/>
  <c r="P27" i="1"/>
  <c r="O27" i="1"/>
  <c r="N27" i="1"/>
  <c r="M27" i="1"/>
  <c r="K27" i="1"/>
  <c r="J27" i="1"/>
  <c r="I27" i="1"/>
  <c r="H27" i="1"/>
  <c r="G27" i="1"/>
  <c r="F27" i="1"/>
  <c r="P19" i="1"/>
  <c r="O19" i="1"/>
  <c r="N19" i="1"/>
  <c r="M19" i="1"/>
  <c r="J19" i="1"/>
  <c r="I19" i="1"/>
  <c r="H19" i="1"/>
  <c r="G19" i="1"/>
  <c r="F19" i="1"/>
  <c r="Y20" i="2"/>
  <c r="Y22" i="2" s="1"/>
  <c r="X19" i="2"/>
  <c r="X20" i="2" s="1"/>
  <c r="X22" i="2" s="1"/>
  <c r="W19" i="2"/>
  <c r="W20" i="2" s="1"/>
  <c r="W22" i="2" s="1"/>
  <c r="V19" i="2"/>
  <c r="V20" i="2" s="1"/>
  <c r="V22" i="2" s="1"/>
  <c r="U19" i="2"/>
  <c r="U20" i="2"/>
  <c r="U22" i="2" s="1"/>
  <c r="T19" i="2"/>
  <c r="T20" i="2" s="1"/>
  <c r="T22" i="2" s="1"/>
  <c r="S19" i="2"/>
  <c r="S20" i="2" s="1"/>
  <c r="S22" i="2" s="1"/>
  <c r="R19" i="2"/>
  <c r="R20" i="2" s="1"/>
  <c r="R22" i="2" s="1"/>
  <c r="Q19" i="2"/>
  <c r="Q20" i="2"/>
  <c r="Q22" i="2" s="1"/>
  <c r="P19" i="2"/>
  <c r="P20" i="2" s="1"/>
  <c r="P22" i="2" s="1"/>
  <c r="O19" i="2"/>
  <c r="O20" i="2" s="1"/>
  <c r="O22" i="2" s="1"/>
  <c r="N19" i="2"/>
  <c r="N20" i="2" s="1"/>
  <c r="N22" i="2" s="1"/>
  <c r="M19" i="2"/>
  <c r="M20" i="2"/>
  <c r="M22" i="2" s="1"/>
  <c r="L19" i="2"/>
  <c r="L20" i="2" s="1"/>
  <c r="L22" i="2" s="1"/>
  <c r="K19" i="2"/>
  <c r="K20" i="2" s="1"/>
  <c r="K22" i="2" s="1"/>
  <c r="J19" i="2"/>
  <c r="J20" i="2" s="1"/>
  <c r="J22" i="2" s="1"/>
  <c r="I19" i="2"/>
  <c r="I20" i="2"/>
  <c r="I22" i="2" s="1"/>
  <c r="H19" i="2"/>
  <c r="H20" i="2" s="1"/>
  <c r="H22" i="2" s="1"/>
  <c r="G19" i="2"/>
  <c r="G20" i="2" s="1"/>
  <c r="G22" i="2" s="1"/>
  <c r="F19" i="2"/>
  <c r="F20" i="2" s="1"/>
  <c r="F22" i="2" s="1"/>
  <c r="E19" i="2"/>
  <c r="E20" i="2"/>
  <c r="E22" i="2" s="1"/>
  <c r="D19" i="2"/>
  <c r="D20" i="2" s="1"/>
  <c r="D22" i="2" s="1"/>
  <c r="C19" i="2"/>
  <c r="C20" i="2" s="1"/>
  <c r="C22" i="2" s="1"/>
  <c r="B19" i="2"/>
  <c r="B20" i="2" s="1"/>
  <c r="B22" i="2" s="1"/>
  <c r="W23" i="2" l="1"/>
  <c r="D185" i="1"/>
  <c r="E185" i="1" s="1"/>
  <c r="E184" i="1"/>
  <c r="R253" i="1"/>
  <c r="R141" i="1"/>
  <c r="R85" i="1"/>
  <c r="R30" i="1"/>
  <c r="R50" i="1"/>
  <c r="R299" i="1"/>
  <c r="H288" i="1"/>
  <c r="D73" i="1"/>
  <c r="E73" i="1" s="1"/>
  <c r="E72" i="1"/>
  <c r="H266" i="1"/>
  <c r="M260" i="1"/>
  <c r="R206" i="1"/>
  <c r="M113" i="1"/>
  <c r="F94" i="1"/>
  <c r="I180" i="1"/>
  <c r="F49" i="1"/>
  <c r="M56" i="1"/>
  <c r="N246" i="1"/>
  <c r="H274" i="1"/>
  <c r="K246" i="1"/>
  <c r="G138" i="1"/>
  <c r="K96" i="1"/>
  <c r="H335" i="1"/>
  <c r="I159" i="1"/>
  <c r="F260" i="1"/>
  <c r="H293" i="1"/>
  <c r="F138" i="1"/>
  <c r="I335" i="1"/>
  <c r="J49" i="1"/>
  <c r="M335" i="1"/>
  <c r="R305" i="1"/>
  <c r="I49" i="1"/>
  <c r="N180" i="1"/>
  <c r="N182" i="1" s="1"/>
  <c r="R216" i="1"/>
  <c r="F298" i="1"/>
  <c r="N335" i="1"/>
  <c r="G157" i="1"/>
  <c r="H49" i="1"/>
  <c r="J46" i="1"/>
  <c r="D105" i="1"/>
  <c r="G260" i="1"/>
  <c r="I333" i="1"/>
  <c r="G49" i="1"/>
  <c r="H262" i="1"/>
  <c r="K260" i="1"/>
  <c r="J113" i="1"/>
  <c r="H333" i="1"/>
  <c r="M333" i="1"/>
  <c r="H96" i="1"/>
  <c r="H99" i="1" s="1"/>
  <c r="R182" i="1"/>
  <c r="R197" i="1" s="1"/>
  <c r="M136" i="1"/>
  <c r="H307" i="1"/>
  <c r="M307" i="1"/>
  <c r="N268" i="1"/>
  <c r="H267" i="1"/>
  <c r="F276" i="1"/>
  <c r="I267" i="1"/>
  <c r="M267" i="1"/>
  <c r="M250" i="1"/>
  <c r="I250" i="1"/>
  <c r="M180" i="1"/>
  <c r="F194" i="1"/>
  <c r="I56" i="1"/>
  <c r="I111" i="1"/>
  <c r="G159" i="1"/>
  <c r="G180" i="1"/>
  <c r="H216" i="1"/>
  <c r="M216" i="1"/>
  <c r="I246" i="1"/>
  <c r="M246" i="1"/>
  <c r="J260" i="1"/>
  <c r="O260" i="1"/>
  <c r="J265" i="1"/>
  <c r="M305" i="1"/>
  <c r="P305" i="1"/>
  <c r="K298" i="1"/>
  <c r="I113" i="1"/>
  <c r="O113" i="1"/>
  <c r="F96" i="1"/>
  <c r="I294" i="1"/>
  <c r="J292" i="1"/>
  <c r="M111" i="1"/>
  <c r="H180" i="1"/>
  <c r="R333" i="1"/>
  <c r="R338" i="1" s="1"/>
  <c r="H56" i="1"/>
  <c r="H58" i="1"/>
  <c r="J111" i="1"/>
  <c r="F180" i="1"/>
  <c r="J180" i="1"/>
  <c r="J182" i="1" s="1"/>
  <c r="O180" i="1"/>
  <c r="I216" i="1"/>
  <c r="R56" i="1"/>
  <c r="P246" i="1"/>
  <c r="I260" i="1"/>
  <c r="N260" i="1"/>
  <c r="I265" i="1"/>
  <c r="J298" i="1"/>
  <c r="N250" i="1"/>
  <c r="G113" i="1"/>
  <c r="N113" i="1"/>
  <c r="I136" i="1"/>
  <c r="H136" i="1"/>
  <c r="P136" i="1"/>
  <c r="G136" i="1"/>
  <c r="K136" i="1"/>
  <c r="O136" i="1"/>
  <c r="L136" i="1"/>
  <c r="F136" i="1"/>
  <c r="J136" i="1"/>
  <c r="P156" i="1"/>
  <c r="I156" i="1"/>
  <c r="J156" i="1"/>
  <c r="K156" i="1"/>
  <c r="N103" i="1"/>
  <c r="K103" i="1"/>
  <c r="H103" i="1"/>
  <c r="M103" i="1"/>
  <c r="F103" i="1"/>
  <c r="O103" i="1"/>
  <c r="I103" i="1"/>
  <c r="I261" i="1"/>
  <c r="O261" i="1"/>
  <c r="I297" i="1"/>
  <c r="G307" i="1"/>
  <c r="K307" i="1"/>
  <c r="P96" i="1"/>
  <c r="R99" i="1"/>
  <c r="O294" i="1"/>
  <c r="D50" i="1"/>
  <c r="N46" i="1"/>
  <c r="H111" i="1"/>
  <c r="N111" i="1"/>
  <c r="F157" i="1"/>
  <c r="P216" i="1"/>
  <c r="H246" i="1"/>
  <c r="O246" i="1"/>
  <c r="M261" i="1"/>
  <c r="M263" i="1" s="1"/>
  <c r="M265" i="1"/>
  <c r="I274" i="1"/>
  <c r="I305" i="1"/>
  <c r="I307" i="1"/>
  <c r="N307" i="1"/>
  <c r="O298" i="1"/>
  <c r="H138" i="1"/>
  <c r="G194" i="1"/>
  <c r="F113" i="1"/>
  <c r="K113" i="1"/>
  <c r="F335" i="1"/>
  <c r="J335" i="1"/>
  <c r="O335" i="1"/>
  <c r="P333" i="1"/>
  <c r="J294" i="1"/>
  <c r="K292" i="1"/>
  <c r="H261" i="1"/>
  <c r="P307" i="1"/>
  <c r="H82" i="1"/>
  <c r="H218" i="1"/>
  <c r="J96" i="1"/>
  <c r="R160" i="1"/>
  <c r="R173" i="1" s="1"/>
  <c r="F294" i="1"/>
  <c r="P56" i="1"/>
  <c r="I46" i="1"/>
  <c r="O46" i="1"/>
  <c r="F246" i="1"/>
  <c r="J246" i="1"/>
  <c r="G261" i="1"/>
  <c r="N261" i="1"/>
  <c r="M274" i="1"/>
  <c r="R263" i="1"/>
  <c r="G297" i="1"/>
  <c r="F307" i="1"/>
  <c r="J307" i="1"/>
  <c r="H194" i="1"/>
  <c r="G335" i="1"/>
  <c r="K335" i="1"/>
  <c r="D99" i="1"/>
  <c r="G98" i="1"/>
  <c r="J98" i="1"/>
  <c r="N96" i="1"/>
  <c r="F44" i="1"/>
  <c r="G44" i="1"/>
  <c r="H44" i="1"/>
  <c r="I44" i="1"/>
  <c r="J44" i="1"/>
  <c r="K44" i="1"/>
  <c r="M44" i="1"/>
  <c r="N44" i="1"/>
  <c r="O44" i="1"/>
  <c r="P44" i="1"/>
  <c r="F204" i="1"/>
  <c r="F206" i="1" s="1"/>
  <c r="K204" i="1"/>
  <c r="K206" i="1" s="1"/>
  <c r="M204" i="1"/>
  <c r="M206" i="1" s="1"/>
  <c r="O204" i="1"/>
  <c r="O206" i="1" s="1"/>
  <c r="I204" i="1"/>
  <c r="L204" i="1"/>
  <c r="L206" i="1" s="1"/>
  <c r="P204" i="1"/>
  <c r="P206" i="1" s="1"/>
  <c r="N204" i="1"/>
  <c r="N206" i="1" s="1"/>
  <c r="G204" i="1"/>
  <c r="J204" i="1"/>
  <c r="J206" i="1" s="1"/>
  <c r="K155" i="1"/>
  <c r="J155" i="1"/>
  <c r="F155" i="1"/>
  <c r="E160" i="1"/>
  <c r="N155" i="1"/>
  <c r="M155" i="1"/>
  <c r="H155" i="1"/>
  <c r="O155" i="1"/>
  <c r="G155" i="1"/>
  <c r="P155" i="1"/>
  <c r="I155" i="1"/>
  <c r="N45" i="1"/>
  <c r="O45" i="1"/>
  <c r="P45" i="1"/>
  <c r="M45" i="1"/>
  <c r="F45" i="1"/>
  <c r="G45" i="1"/>
  <c r="H45" i="1"/>
  <c r="I45" i="1"/>
  <c r="J45" i="1"/>
  <c r="K45" i="1"/>
  <c r="P262" i="1"/>
  <c r="P263" i="1" s="1"/>
  <c r="N262" i="1"/>
  <c r="L262" i="1"/>
  <c r="L263" i="1" s="1"/>
  <c r="I262" i="1"/>
  <c r="G262" i="1"/>
  <c r="P272" i="1"/>
  <c r="L272" i="1"/>
  <c r="H272" i="1"/>
  <c r="O272" i="1"/>
  <c r="K272" i="1"/>
  <c r="G272" i="1"/>
  <c r="P288" i="1"/>
  <c r="K288" i="1"/>
  <c r="G288" i="1"/>
  <c r="O288" i="1"/>
  <c r="J288" i="1"/>
  <c r="F288" i="1"/>
  <c r="M295" i="1"/>
  <c r="H295" i="1"/>
  <c r="P295" i="1"/>
  <c r="K295" i="1"/>
  <c r="G295" i="1"/>
  <c r="M266" i="1"/>
  <c r="I266" i="1"/>
  <c r="M294" i="1"/>
  <c r="H294" i="1"/>
  <c r="P294" i="1"/>
  <c r="K294" i="1"/>
  <c r="G294" i="1"/>
  <c r="E296" i="1"/>
  <c r="D299" i="1"/>
  <c r="O157" i="1"/>
  <c r="O181" i="1"/>
  <c r="J157" i="1"/>
  <c r="F272" i="1"/>
  <c r="F293" i="1"/>
  <c r="N82" i="1"/>
  <c r="G218" i="1"/>
  <c r="H181" i="1"/>
  <c r="N288" i="1"/>
  <c r="P49" i="1"/>
  <c r="O49" i="1"/>
  <c r="N49" i="1"/>
  <c r="I58" i="1"/>
  <c r="H46" i="1"/>
  <c r="F156" i="1"/>
  <c r="N157" i="1"/>
  <c r="F265" i="1"/>
  <c r="J272" i="1"/>
  <c r="K274" i="1"/>
  <c r="R268" i="1"/>
  <c r="H305" i="1"/>
  <c r="G298" i="1"/>
  <c r="I96" i="1"/>
  <c r="M96" i="1"/>
  <c r="N295" i="1"/>
  <c r="I288" i="1"/>
  <c r="G205" i="1"/>
  <c r="I205" i="1"/>
  <c r="O293" i="1"/>
  <c r="J293" i="1"/>
  <c r="N293" i="1"/>
  <c r="I293" i="1"/>
  <c r="P82" i="1"/>
  <c r="K82" i="1"/>
  <c r="G82" i="1"/>
  <c r="O82" i="1"/>
  <c r="J82" i="1"/>
  <c r="F82" i="1"/>
  <c r="O218" i="1"/>
  <c r="J218" i="1"/>
  <c r="F218" i="1"/>
  <c r="N218" i="1"/>
  <c r="I218" i="1"/>
  <c r="F181" i="1"/>
  <c r="L181" i="1"/>
  <c r="L182" i="1" s="1"/>
  <c r="P181" i="1"/>
  <c r="P182" i="1" s="1"/>
  <c r="G181" i="1"/>
  <c r="M181" i="1"/>
  <c r="P92" i="1"/>
  <c r="O92" i="1"/>
  <c r="N92" i="1"/>
  <c r="M92" i="1"/>
  <c r="J92" i="1"/>
  <c r="I92" i="1"/>
  <c r="G92" i="1"/>
  <c r="F92" i="1"/>
  <c r="P94" i="1"/>
  <c r="O94" i="1"/>
  <c r="N94" i="1"/>
  <c r="M94" i="1"/>
  <c r="K94" i="1"/>
  <c r="J94" i="1"/>
  <c r="N292" i="1"/>
  <c r="I292" i="1"/>
  <c r="M292" i="1"/>
  <c r="H292" i="1"/>
  <c r="M46" i="1"/>
  <c r="K46" i="1"/>
  <c r="F46" i="1"/>
  <c r="P111" i="1"/>
  <c r="K111" i="1"/>
  <c r="F111" i="1"/>
  <c r="O156" i="1"/>
  <c r="N156" i="1"/>
  <c r="M156" i="1"/>
  <c r="H156" i="1"/>
  <c r="G156" i="1"/>
  <c r="P265" i="1"/>
  <c r="L265" i="1"/>
  <c r="H265" i="1"/>
  <c r="O265" i="1"/>
  <c r="K265" i="1"/>
  <c r="K268" i="1" s="1"/>
  <c r="G265" i="1"/>
  <c r="P267" i="1"/>
  <c r="L267" i="1"/>
  <c r="G267" i="1"/>
  <c r="O267" i="1"/>
  <c r="J267" i="1"/>
  <c r="F267" i="1"/>
  <c r="P274" i="1"/>
  <c r="L274" i="1"/>
  <c r="G274" i="1"/>
  <c r="O274" i="1"/>
  <c r="J274" i="1"/>
  <c r="F274" i="1"/>
  <c r="N298" i="1"/>
  <c r="I298" i="1"/>
  <c r="M298" i="1"/>
  <c r="H298" i="1"/>
  <c r="P250" i="1"/>
  <c r="K250" i="1"/>
  <c r="G250" i="1"/>
  <c r="O250" i="1"/>
  <c r="J250" i="1"/>
  <c r="F250" i="1"/>
  <c r="I276" i="1"/>
  <c r="H276" i="1"/>
  <c r="D290" i="1"/>
  <c r="E290" i="1"/>
  <c r="G58" i="1"/>
  <c r="H157" i="1"/>
  <c r="P157" i="1"/>
  <c r="N272" i="1"/>
  <c r="P293" i="1"/>
  <c r="P218" i="1"/>
  <c r="I295" i="1"/>
  <c r="G103" i="1"/>
  <c r="J103" i="1"/>
  <c r="P103" i="1"/>
  <c r="E101" i="1"/>
  <c r="D160" i="1"/>
  <c r="K157" i="1"/>
  <c r="M157" i="1"/>
  <c r="F262" i="1"/>
  <c r="O262" i="1"/>
  <c r="M272" i="1"/>
  <c r="M82" i="1"/>
  <c r="M218" i="1"/>
  <c r="I181" i="1"/>
  <c r="I94" i="1"/>
  <c r="R105" i="1"/>
  <c r="F295" i="1"/>
  <c r="O295" i="1"/>
  <c r="F292" i="1"/>
  <c r="P292" i="1"/>
  <c r="M288" i="1"/>
  <c r="F261" i="1"/>
  <c r="J261" i="1"/>
  <c r="J263" i="1" s="1"/>
  <c r="H260" i="1"/>
  <c r="L260" i="1"/>
  <c r="O184" i="1" l="1"/>
  <c r="O185" i="1" s="1"/>
  <c r="M184" i="1"/>
  <c r="M185" i="1" s="1"/>
  <c r="I184" i="1"/>
  <c r="I185" i="1" s="1"/>
  <c r="G184" i="1"/>
  <c r="G185" i="1" s="1"/>
  <c r="P184" i="1"/>
  <c r="P185" i="1" s="1"/>
  <c r="N184" i="1"/>
  <c r="N185" i="1" s="1"/>
  <c r="L184" i="1"/>
  <c r="L185" i="1" s="1"/>
  <c r="J184" i="1"/>
  <c r="J185" i="1" s="1"/>
  <c r="H184" i="1"/>
  <c r="H185" i="1" s="1"/>
  <c r="F184" i="1"/>
  <c r="F185" i="1" s="1"/>
  <c r="R310" i="1"/>
  <c r="R222" i="1"/>
  <c r="R116" i="1"/>
  <c r="R61" i="1"/>
  <c r="I182" i="1"/>
  <c r="P72" i="1"/>
  <c r="P73" i="1" s="1"/>
  <c r="L72" i="1"/>
  <c r="L73" i="1" s="1"/>
  <c r="G72" i="1"/>
  <c r="G73" i="1" s="1"/>
  <c r="O72" i="1"/>
  <c r="O73" i="1" s="1"/>
  <c r="J72" i="1"/>
  <c r="J73" i="1" s="1"/>
  <c r="F72" i="1"/>
  <c r="F73" i="1" s="1"/>
  <c r="M72" i="1"/>
  <c r="M73" i="1" s="1"/>
  <c r="N72" i="1"/>
  <c r="N73" i="1" s="1"/>
  <c r="I72" i="1"/>
  <c r="I73" i="1" s="1"/>
  <c r="H72" i="1"/>
  <c r="H73" i="1" s="1"/>
  <c r="O182" i="1"/>
  <c r="J268" i="1"/>
  <c r="K99" i="1"/>
  <c r="F182" i="1"/>
  <c r="F99" i="1"/>
  <c r="N263" i="1"/>
  <c r="H263" i="1"/>
  <c r="F263" i="1"/>
  <c r="G263" i="1"/>
  <c r="H182" i="1"/>
  <c r="G50" i="1"/>
  <c r="M182" i="1"/>
  <c r="H268" i="1"/>
  <c r="O263" i="1"/>
  <c r="G99" i="1"/>
  <c r="G182" i="1"/>
  <c r="R279" i="1"/>
  <c r="M268" i="1"/>
  <c r="I263" i="1"/>
  <c r="I160" i="1"/>
  <c r="I268" i="1"/>
  <c r="P50" i="1"/>
  <c r="N99" i="1"/>
  <c r="O160" i="1"/>
  <c r="G268" i="1"/>
  <c r="L268" i="1"/>
  <c r="G160" i="1"/>
  <c r="K160" i="1"/>
  <c r="M50" i="1"/>
  <c r="H50" i="1"/>
  <c r="J99" i="1"/>
  <c r="P99" i="1"/>
  <c r="J160" i="1"/>
  <c r="I206" i="1"/>
  <c r="I50" i="1"/>
  <c r="I99" i="1"/>
  <c r="O99" i="1"/>
  <c r="M296" i="1"/>
  <c r="M299" i="1" s="1"/>
  <c r="H296" i="1"/>
  <c r="H299" i="1" s="1"/>
  <c r="P296" i="1"/>
  <c r="P299" i="1" s="1"/>
  <c r="K296" i="1"/>
  <c r="K299" i="1" s="1"/>
  <c r="G296" i="1"/>
  <c r="G299" i="1" s="1"/>
  <c r="J296" i="1"/>
  <c r="J299" i="1" s="1"/>
  <c r="N296" i="1"/>
  <c r="N299" i="1" s="1"/>
  <c r="F296" i="1"/>
  <c r="F299" i="1" s="1"/>
  <c r="I296" i="1"/>
  <c r="I299" i="1" s="1"/>
  <c r="O296" i="1"/>
  <c r="O299" i="1" s="1"/>
  <c r="H290" i="1"/>
  <c r="K290" i="1"/>
  <c r="G290" i="1"/>
  <c r="J290" i="1"/>
  <c r="N290" i="1"/>
  <c r="P290" i="1"/>
  <c r="O290" i="1"/>
  <c r="I290" i="1"/>
  <c r="F290" i="1"/>
  <c r="M290" i="1"/>
  <c r="N160" i="1"/>
  <c r="O268" i="1"/>
  <c r="P160" i="1"/>
  <c r="M160" i="1"/>
  <c r="G206" i="1"/>
  <c r="N50" i="1"/>
  <c r="P268" i="1"/>
  <c r="M99" i="1"/>
  <c r="F268" i="1"/>
  <c r="H160" i="1"/>
  <c r="F160" i="1"/>
  <c r="O50" i="1"/>
  <c r="J50" i="1"/>
  <c r="F50" i="1"/>
  <c r="O101" i="1"/>
  <c r="O105" i="1" s="1"/>
  <c r="G101" i="1"/>
  <c r="G105" i="1" s="1"/>
  <c r="F101" i="1"/>
  <c r="F105" i="1" s="1"/>
  <c r="N101" i="1"/>
  <c r="N105" i="1" s="1"/>
  <c r="J101" i="1"/>
  <c r="J105" i="1" s="1"/>
  <c r="M101" i="1"/>
  <c r="M105" i="1" s="1"/>
  <c r="I101" i="1"/>
  <c r="I105" i="1" s="1"/>
  <c r="P101" i="1"/>
  <c r="P105" i="1" s="1"/>
  <c r="K101" i="1"/>
  <c r="K105" i="1" s="1"/>
  <c r="H101" i="1"/>
  <c r="H105" i="1" s="1"/>
  <c r="E105" i="1"/>
  <c r="K50" i="1"/>
</calcChain>
</file>

<file path=xl/sharedStrings.xml><?xml version="1.0" encoding="utf-8"?>
<sst xmlns="http://schemas.openxmlformats.org/spreadsheetml/2006/main" count="568" uniqueCount="144">
  <si>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</si>
  <si>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</si>
  <si>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</si>
  <si>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</si>
  <si>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</si>
  <si>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</si>
  <si>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</si>
  <si>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</si>
  <si>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</si>
  <si>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</si>
  <si>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</si>
  <si>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</si>
  <si>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</si>
  <si>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</si>
  <si>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</si>
  <si>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>морковь</t>
  </si>
  <si>
    <t>капуста</t>
  </si>
  <si>
    <t>растит. масло</t>
  </si>
  <si>
    <t>всего грамм</t>
  </si>
  <si>
    <t>нетто</t>
  </si>
  <si>
    <t>отх</t>
  </si>
  <si>
    <t>крупа гречневая</t>
  </si>
  <si>
    <t>масло сливочное</t>
  </si>
  <si>
    <t>мясо говядина</t>
  </si>
  <si>
    <t>рис</t>
  </si>
  <si>
    <t>масло растительное</t>
  </si>
  <si>
    <t>томат</t>
  </si>
  <si>
    <t>количество детей</t>
  </si>
  <si>
    <t>2день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</si>
  <si>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</si>
  <si>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</si>
  <si>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</si>
  <si>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</si>
  <si>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</si>
  <si>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</si>
  <si>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</si>
  <si>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</si>
  <si>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</si>
  <si>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</si>
  <si>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</si>
  <si>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</si>
  <si>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</si>
  <si>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</si>
  <si>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</si>
  <si>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</si>
  <si>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</si>
  <si>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</si>
  <si>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</si>
  <si>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</si>
  <si>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</si>
  <si>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</si>
  <si>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</si>
  <si>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</si>
  <si>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</si>
  <si>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</si>
  <si>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</si>
  <si>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</si>
  <si>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</si>
  <si>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</si>
  <si>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</si>
  <si>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</si>
  <si>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</si>
  <si>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</si>
  <si>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</si>
  <si>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</si>
  <si>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</si>
  <si>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</si>
  <si>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сухофрукты</t>
  </si>
  <si>
    <t>сахар</t>
  </si>
  <si>
    <t>итого</t>
  </si>
  <si>
    <t>ДЕНЬ № 2</t>
  </si>
  <si>
    <t>свекла</t>
  </si>
  <si>
    <t>картофель</t>
  </si>
  <si>
    <t>лук</t>
  </si>
  <si>
    <t xml:space="preserve">курица </t>
  </si>
  <si>
    <t>соль</t>
  </si>
  <si>
    <t>ДЕНЬ № 3</t>
  </si>
  <si>
    <t>зел.горох</t>
  </si>
  <si>
    <t>горох лущенный</t>
  </si>
  <si>
    <t>макароны</t>
  </si>
  <si>
    <t>ДЕНЬ № 4</t>
  </si>
  <si>
    <t>мука</t>
  </si>
  <si>
    <t>ДЕНЬ № 5</t>
  </si>
  <si>
    <t>ДЕНЬ № 6</t>
  </si>
  <si>
    <t>ДЕНЬ № 7</t>
  </si>
  <si>
    <t>ДЕНЬ № 8</t>
  </si>
  <si>
    <t xml:space="preserve">рыба </t>
  </si>
  <si>
    <t>ДЕНЬ № 9</t>
  </si>
  <si>
    <t>ДЕНЬ № 10</t>
  </si>
  <si>
    <t>молоко</t>
  </si>
  <si>
    <t>какао</t>
  </si>
  <si>
    <t>ДЕНЬ № 11</t>
  </si>
  <si>
    <t xml:space="preserve"> </t>
  </si>
  <si>
    <t xml:space="preserve">рис </t>
  </si>
  <si>
    <t>Примерное 12-дневное меню для школьников за 2021 год</t>
  </si>
  <si>
    <t xml:space="preserve">1.салат из овощей </t>
  </si>
  <si>
    <t>6.Яблоки</t>
  </si>
  <si>
    <t>7.Соль</t>
  </si>
  <si>
    <t xml:space="preserve"> всего грамм</t>
  </si>
  <si>
    <t xml:space="preserve">Утверждаю:   </t>
  </si>
  <si>
    <t>Начальник ОО и МУ МР"Кайтагский район"</t>
  </si>
  <si>
    <t>Магомедов Ш.Р.</t>
  </si>
  <si>
    <t xml:space="preserve">Согласовано:   </t>
  </si>
  <si>
    <t xml:space="preserve">Начальник ТО Управления Роспотребнадзора </t>
  </si>
  <si>
    <t>Мятов Н.Г.</t>
  </si>
  <si>
    <t>администрации МР"Кайтагский район"</t>
  </si>
  <si>
    <t>6.бананы</t>
  </si>
  <si>
    <t>7.соль</t>
  </si>
  <si>
    <t>1.картофельное пюре</t>
  </si>
  <si>
    <t>3.хлеб</t>
  </si>
  <si>
    <t>4.чай</t>
  </si>
  <si>
    <t>6.соль</t>
  </si>
  <si>
    <t>ДЕНЬ № 12</t>
  </si>
  <si>
    <t>2.курица в духовке</t>
  </si>
  <si>
    <t>6.яблоки</t>
  </si>
  <si>
    <t>4.компот</t>
  </si>
  <si>
    <t>5.мандарины</t>
  </si>
  <si>
    <t>5.печенье</t>
  </si>
  <si>
    <t>4.яйцо</t>
  </si>
  <si>
    <t>5.яблоки</t>
  </si>
  <si>
    <t xml:space="preserve">сумма </t>
  </si>
  <si>
    <t>сумма</t>
  </si>
  <si>
    <t>по РД " Кайтагском районе"</t>
  </si>
  <si>
    <t>1.макароны отварные</t>
  </si>
  <si>
    <t>3.Хлеб</t>
  </si>
  <si>
    <t xml:space="preserve">2.суп картофельный с горохом,говядиной </t>
  </si>
  <si>
    <t>5.бананы</t>
  </si>
  <si>
    <t xml:space="preserve">   4.какао с молоком</t>
  </si>
  <si>
    <t>1.суп с картофелем,мясными фрикадельками</t>
  </si>
  <si>
    <t>мясо говядины</t>
  </si>
  <si>
    <t xml:space="preserve">1.плов рисовый из отварного куриного мяса </t>
  </si>
  <si>
    <t xml:space="preserve">      4.какао с молоком</t>
  </si>
  <si>
    <t>1.рыба запеченная</t>
  </si>
  <si>
    <t>2.картофельное пюре</t>
  </si>
  <si>
    <t>1.запеканка картофельная с куриным филе</t>
  </si>
  <si>
    <t>2.салат овощной</t>
  </si>
  <si>
    <t>1.жаркое по-домашнему</t>
  </si>
  <si>
    <t>2.борщ с капустой на мясном бульоне</t>
  </si>
  <si>
    <t>1.каша гречневая</t>
  </si>
  <si>
    <t xml:space="preserve">     2.какао с молоком</t>
  </si>
  <si>
    <t xml:space="preserve">1.каша рисовая молочная </t>
  </si>
  <si>
    <t>2.салат из овощей</t>
  </si>
  <si>
    <t>2.гуляш из говядины</t>
  </si>
  <si>
    <t>Примерное двухнедельное меню для образовательных учреждений администрации МР "Кайтагский район"                                                                         В период с 01.04.2021г.по 13.04.2021г.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</si>
</sst>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0">
    <xf numFmtId="0" fontId="0" fillId="0" borderId="0" xfId="0"/>
    <xf numFmtId="0" fontId="10" fillId="2" borderId="1" xfId="1" applyNumberFormat="1" applyFont="1" applyFill="1" applyBorder="1" applyAlignment="1" applyProtection="1">
      <alignment vertical="center" wrapText="1"/>
    </xf>
    <xf numFmtId="0" fontId="9" fillId="0" borderId="2" xfId="1" applyNumberFormat="1" applyFont="1" applyFill="1" applyBorder="1" applyAlignment="1" applyProtection="1">
      <alignment horizontal="left" vertical="top" wrapText="1"/>
    </xf>
    <xf numFmtId="0" fontId="0" fillId="0" borderId="1" xfId="0" applyBorder="1"/>
    <xf numFmtId="2" fontId="0" fillId="0" borderId="1" xfId="0" applyNumberFormat="1" applyBorder="1"/>
    <xf numFmtId="2" fontId="13" fillId="0" borderId="1" xfId="0" applyNumberFormat="1" applyFont="1" applyBorder="1"/>
    <xf numFmtId="164" fontId="0" fillId="0" borderId="1" xfId="0" applyNumberFormat="1" applyBorder="1"/>
    <xf numFmtId="2" fontId="5" fillId="0" borderId="1" xfId="0" applyNumberFormat="1" applyFont="1" applyBorder="1"/>
    <xf numFmtId="0" fontId="12" fillId="0" borderId="0" xfId="0" applyFont="1" applyAlignment="1" applyProtection="1">
      <alignment horizontal="right"/>
      <protection locked="0"/>
    </xf>
    <xf numFmtId="0" fontId="14" fillId="0" borderId="4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textRotation="90" wrapText="1"/>
    </xf>
    <xf numFmtId="0" fontId="12" fillId="0" borderId="1" xfId="0" applyFont="1" applyBorder="1" applyAlignment="1" applyProtection="1">
      <alignment textRotation="90" wrapText="1"/>
      <protection locked="0"/>
    </xf>
    <xf numFmtId="0" fontId="12" fillId="0" borderId="1" xfId="0" applyFont="1" applyBorder="1" applyProtection="1">
      <protection locked="0"/>
    </xf>
    <xf numFmtId="164" fontId="12" fillId="0" borderId="1" xfId="0" applyNumberFormat="1" applyFont="1" applyBorder="1" applyProtection="1">
      <protection locked="0"/>
    </xf>
    <xf numFmtId="164" fontId="12" fillId="0" borderId="5" xfId="0" applyNumberFormat="1" applyFont="1" applyBorder="1" applyProtection="1">
      <protection locked="0"/>
    </xf>
    <xf numFmtId="164" fontId="12" fillId="0" borderId="1" xfId="0" applyNumberFormat="1" applyFont="1" applyBorder="1" applyProtection="1"/>
    <xf numFmtId="2" fontId="12" fillId="0" borderId="1" xfId="0" applyNumberFormat="1" applyFont="1" applyBorder="1" applyProtection="1"/>
    <xf numFmtId="0" fontId="12" fillId="0" borderId="1" xfId="0" applyFont="1" applyBorder="1" applyProtection="1"/>
    <xf numFmtId="2" fontId="12" fillId="0" borderId="6" xfId="0" applyNumberFormat="1" applyFont="1" applyBorder="1" applyAlignment="1" applyProtection="1">
      <alignment horizontal="center"/>
    </xf>
    <xf numFmtId="2" fontId="12" fillId="0" borderId="7" xfId="0" applyNumberFormat="1" applyFont="1" applyBorder="1" applyAlignment="1" applyProtection="1">
      <alignment horizontal="center"/>
    </xf>
    <xf numFmtId="2" fontId="12" fillId="0" borderId="0" xfId="0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/>
    <xf numFmtId="2" fontId="15" fillId="0" borderId="1" xfId="0" applyNumberFormat="1" applyFont="1" applyBorder="1"/>
    <xf numFmtId="0" fontId="16" fillId="0" borderId="1" xfId="0" applyFont="1" applyBorder="1"/>
    <xf numFmtId="164" fontId="5" fillId="0" borderId="1" xfId="0" applyNumberFormat="1" applyFont="1" applyBorder="1"/>
    <xf numFmtId="1" fontId="0" fillId="0" borderId="1" xfId="0" applyNumberFormat="1" applyBorder="1"/>
    <xf numFmtId="2" fontId="3" fillId="0" borderId="1" xfId="0" applyNumberFormat="1" applyFont="1" applyBorder="1"/>
    <xf numFmtId="2" fontId="15" fillId="0" borderId="0" xfId="0" applyNumberFormat="1" applyFont="1"/>
    <xf numFmtId="2" fontId="2" fillId="0" borderId="1" xfId="0" applyNumberFormat="1" applyFont="1" applyBorder="1"/>
    <xf numFmtId="0" fontId="17" fillId="0" borderId="1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0" fontId="19" fillId="2" borderId="0" xfId="0" applyFont="1" applyFill="1" applyAlignment="1"/>
    <xf numFmtId="0" fontId="19" fillId="2" borderId="2" xfId="0" applyFont="1" applyFill="1" applyBorder="1" applyAlignment="1"/>
    <xf numFmtId="1" fontId="16" fillId="0" borderId="1" xfId="0" applyNumberFormat="1" applyFont="1" applyBorder="1"/>
    <xf numFmtId="1" fontId="16" fillId="0" borderId="0" xfId="0" applyNumberFormat="1" applyFont="1"/>
    <xf numFmtId="2" fontId="20" fillId="0" borderId="1" xfId="0" applyNumberFormat="1" applyFont="1" applyBorder="1"/>
    <xf numFmtId="2" fontId="20" fillId="0" borderId="0" xfId="0" applyNumberFormat="1" applyFont="1" applyBorder="1"/>
    <xf numFmtId="1" fontId="20" fillId="0" borderId="1" xfId="0" applyNumberFormat="1" applyFont="1" applyBorder="1"/>
    <xf numFmtId="0" fontId="20" fillId="0" borderId="0" xfId="0" applyFont="1"/>
    <xf numFmtId="1" fontId="20" fillId="0" borderId="0" xfId="0" applyNumberFormat="1" applyFont="1" applyBorder="1"/>
    <xf numFmtId="2" fontId="15" fillId="0" borderId="0" xfId="0" applyNumberFormat="1" applyFont="1" applyBorder="1"/>
    <xf numFmtId="0" fontId="24" fillId="0" borderId="0" xfId="0" applyFont="1"/>
    <xf numFmtId="0" fontId="22" fillId="0" borderId="0" xfId="0" applyFont="1" applyAlignment="1">
      <alignment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0" fontId="23" fillId="0" borderId="0" xfId="1" applyNumberFormat="1" applyFont="1" applyFill="1" applyBorder="1" applyAlignment="1" applyProtection="1">
      <alignment vertical="center"/>
    </xf>
    <xf numFmtId="0" fontId="23" fillId="2" borderId="0" xfId="1" applyNumberFormat="1" applyFont="1" applyFill="1" applyBorder="1" applyAlignment="1" applyProtection="1">
      <alignment vertical="center"/>
    </xf>
    <xf numFmtId="0" fontId="17" fillId="0" borderId="1" xfId="1" applyNumberFormat="1" applyFont="1" applyFill="1" applyBorder="1" applyAlignment="1" applyProtection="1">
      <alignment horizontal="left" vertical="center" wrapText="1"/>
    </xf>
    <xf numFmtId="2" fontId="17" fillId="0" borderId="1" xfId="0" applyNumberFormat="1" applyFont="1" applyBorder="1" applyAlignment="1">
      <alignment vertical="center"/>
    </xf>
    <xf numFmtId="0" fontId="19" fillId="2" borderId="1" xfId="0" applyFont="1" applyFill="1" applyBorder="1" applyAlignment="1"/>
    <xf numFmtId="2" fontId="20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12" xfId="0" applyFont="1" applyBorder="1"/>
    <xf numFmtId="0" fontId="7" fillId="0" borderId="2" xfId="1" applyNumberFormat="1" applyFont="1" applyFill="1" applyBorder="1" applyAlignment="1" applyProtection="1">
      <alignment vertical="center" wrapText="1"/>
    </xf>
    <xf numFmtId="2" fontId="29" fillId="0" borderId="1" xfId="0" applyNumberFormat="1" applyFont="1" applyBorder="1"/>
    <xf numFmtId="2" fontId="20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Border="1" applyAlignment="1">
      <alignment vertical="center"/>
    </xf>
    <xf numFmtId="2" fontId="31" fillId="0" borderId="1" xfId="0" applyNumberFormat="1" applyFont="1" applyBorder="1" applyAlignment="1">
      <alignment vertical="center"/>
    </xf>
    <xf numFmtId="1" fontId="17" fillId="0" borderId="1" xfId="0" applyNumberFormat="1" applyFont="1" applyBorder="1"/>
    <xf numFmtId="2" fontId="19" fillId="2" borderId="1" xfId="0" applyNumberFormat="1" applyFont="1" applyFill="1" applyBorder="1" applyAlignment="1"/>
    <xf numFmtId="2" fontId="17" fillId="0" borderId="1" xfId="1" applyNumberFormat="1" applyFont="1" applyFill="1" applyBorder="1" applyAlignment="1" applyProtection="1">
      <alignment horizontal="left" vertical="center" wrapText="1"/>
    </xf>
    <xf numFmtId="2" fontId="16" fillId="0" borderId="1" xfId="0" applyNumberFormat="1" applyFont="1" applyBorder="1" applyAlignment="1">
      <alignment horizontal="center" vertical="center"/>
    </xf>
    <xf numFmtId="0" fontId="35" fillId="0" borderId="1" xfId="0" applyFont="1" applyBorder="1"/>
    <xf numFmtId="2" fontId="34" fillId="0" borderId="1" xfId="0" applyNumberFormat="1" applyFont="1" applyBorder="1" applyAlignment="1">
      <alignment vertical="center"/>
    </xf>
    <xf numFmtId="0" fontId="0" fillId="0" borderId="0" xfId="0" applyFont="1"/>
    <xf numFmtId="1" fontId="20" fillId="0" borderId="1" xfId="0" applyNumberFormat="1" applyFont="1" applyBorder="1" applyAlignment="1"/>
    <xf numFmtId="0" fontId="0" fillId="0" borderId="0" xfId="0" applyAlignment="1"/>
    <xf numFmtId="0" fontId="0" fillId="0" borderId="1" xfId="0" applyBorder="1" applyAlignment="1"/>
    <xf numFmtId="2" fontId="0" fillId="0" borderId="1" xfId="0" applyNumberFormat="1" applyBorder="1" applyAlignment="1"/>
    <xf numFmtId="2" fontId="4" fillId="0" borderId="1" xfId="0" applyNumberFormat="1" applyFont="1" applyBorder="1" applyAlignment="1"/>
    <xf numFmtId="0" fontId="16" fillId="0" borderId="1" xfId="0" applyFont="1" applyBorder="1" applyAlignment="1"/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2" fontId="16" fillId="0" borderId="11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1" fontId="16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/>
    </xf>
    <xf numFmtId="1" fontId="43" fillId="0" borderId="1" xfId="0" applyNumberFormat="1" applyFont="1" applyBorder="1"/>
    <xf numFmtId="0" fontId="44" fillId="0" borderId="0" xfId="0" applyFont="1"/>
    <xf numFmtId="1" fontId="30" fillId="0" borderId="1" xfId="0" applyNumberFormat="1" applyFont="1" applyBorder="1"/>
    <xf numFmtId="0" fontId="39" fillId="0" borderId="0" xfId="0" applyFont="1"/>
    <xf numFmtId="0" fontId="46" fillId="0" borderId="0" xfId="0" applyFont="1"/>
    <xf numFmtId="0" fontId="45" fillId="2" borderId="1" xfId="0" applyFont="1" applyFill="1" applyBorder="1" applyAlignment="1"/>
    <xf numFmtId="2" fontId="0" fillId="0" borderId="1" xfId="0" applyNumberForma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50" fillId="0" borderId="1" xfId="0" applyNumberFormat="1" applyFont="1" applyBorder="1"/>
    <xf numFmtId="0" fontId="1" fillId="0" borderId="0" xfId="0" applyFont="1"/>
    <xf numFmtId="0" fontId="36" fillId="0" borderId="0" xfId="0" applyFont="1"/>
    <xf numFmtId="2" fontId="36" fillId="0" borderId="1" xfId="0" applyNumberFormat="1" applyFont="1" applyBorder="1"/>
    <xf numFmtId="1" fontId="52" fillId="0" borderId="1" xfId="0" applyNumberFormat="1" applyFont="1" applyBorder="1"/>
    <xf numFmtId="0" fontId="36" fillId="0" borderId="0" xfId="0" applyFont="1" applyAlignment="1">
      <alignment horizontal="left"/>
    </xf>
    <xf numFmtId="2" fontId="16" fillId="0" borderId="8" xfId="0" applyNumberFormat="1" applyFont="1" applyBorder="1" applyAlignment="1">
      <alignment horizontal="left"/>
    </xf>
    <xf numFmtId="2" fontId="16" fillId="0" borderId="1" xfId="1" applyNumberFormat="1" applyFont="1" applyFill="1" applyBorder="1" applyAlignment="1" applyProtection="1">
      <alignment horizontal="left" wrapText="1"/>
    </xf>
    <xf numFmtId="2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ont="1" applyAlignment="1">
      <alignment vertical="center"/>
    </xf>
    <xf numFmtId="1" fontId="16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2" fontId="36" fillId="0" borderId="1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164" fontId="36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16" fillId="0" borderId="2" xfId="0" applyNumberFormat="1" applyFont="1" applyBorder="1" applyAlignment="1">
      <alignment vertical="center"/>
    </xf>
    <xf numFmtId="2" fontId="37" fillId="2" borderId="1" xfId="1" applyNumberFormat="1" applyFont="1" applyFill="1" applyBorder="1" applyAlignment="1" applyProtection="1">
      <alignment vertical="center" wrapText="1"/>
    </xf>
    <xf numFmtId="2" fontId="38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51" fillId="0" borderId="0" xfId="0" applyFont="1" applyAlignment="1"/>
    <xf numFmtId="2" fontId="31" fillId="0" borderId="0" xfId="0" applyNumberFormat="1" applyFont="1" applyBorder="1" applyAlignment="1">
      <alignment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2" fontId="27" fillId="0" borderId="5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9" fillId="0" borderId="2" xfId="1" applyNumberFormat="1" applyFont="1" applyFill="1" applyBorder="1" applyAlignment="1" applyProtection="1">
      <alignment horizontal="center" vertical="center"/>
    </xf>
    <xf numFmtId="0" fontId="19" fillId="0" borderId="11" xfId="1" applyNumberFormat="1" applyFont="1" applyFill="1" applyBorder="1" applyAlignment="1" applyProtection="1">
      <alignment horizontal="center" vertical="center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/>
    </xf>
    <xf numFmtId="0" fontId="7" fillId="2" borderId="8" xfId="1" applyNumberFormat="1" applyFont="1" applyFill="1" applyBorder="1" applyAlignment="1" applyProtection="1">
      <alignment horizontal="center" vertical="center"/>
    </xf>
    <xf numFmtId="0" fontId="23" fillId="2" borderId="2" xfId="1" applyNumberFormat="1" applyFont="1" applyFill="1" applyBorder="1" applyAlignment="1" applyProtection="1">
      <alignment horizontal="center" vertical="top"/>
    </xf>
    <xf numFmtId="0" fontId="23" fillId="2" borderId="11" xfId="1" applyNumberFormat="1" applyFont="1" applyFill="1" applyBorder="1" applyAlignment="1" applyProtection="1">
      <alignment horizontal="center" vertical="top"/>
    </xf>
    <xf numFmtId="0" fontId="23" fillId="2" borderId="8" xfId="1" applyNumberFormat="1" applyFont="1" applyFill="1" applyBorder="1" applyAlignment="1" applyProtection="1">
      <alignment horizontal="center" vertical="top"/>
    </xf>
    <xf numFmtId="0" fontId="32" fillId="2" borderId="2" xfId="1" applyNumberFormat="1" applyFont="1" applyFill="1" applyBorder="1" applyAlignment="1" applyProtection="1">
      <alignment horizontal="center" vertical="top" wrapText="1"/>
    </xf>
    <xf numFmtId="0" fontId="32" fillId="2" borderId="11" xfId="1" applyNumberFormat="1" applyFont="1" applyFill="1" applyBorder="1" applyAlignment="1" applyProtection="1">
      <alignment horizontal="center" vertical="top" wrapText="1"/>
    </xf>
    <xf numFmtId="0" fontId="32" fillId="2" borderId="8" xfId="1" applyNumberFormat="1" applyFont="1" applyFill="1" applyBorder="1" applyAlignment="1" applyProtection="1">
      <alignment horizontal="center" vertical="top" wrapText="1"/>
    </xf>
    <xf numFmtId="0" fontId="27" fillId="0" borderId="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2" fontId="40" fillId="0" borderId="5" xfId="0" applyNumberFormat="1" applyFont="1" applyBorder="1" applyAlignment="1">
      <alignment horizontal="center"/>
    </xf>
    <xf numFmtId="2" fontId="36" fillId="0" borderId="9" xfId="0" applyNumberFormat="1" applyFont="1" applyBorder="1" applyAlignment="1">
      <alignment horizontal="center"/>
    </xf>
    <xf numFmtId="2" fontId="36" fillId="0" borderId="10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2" fontId="49" fillId="0" borderId="9" xfId="0" applyNumberFormat="1" applyFont="1" applyBorder="1" applyAlignment="1">
      <alignment horizontal="center"/>
    </xf>
    <xf numFmtId="2" fontId="49" fillId="0" borderId="1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30" fillId="0" borderId="9" xfId="0" applyNumberFormat="1" applyFont="1" applyBorder="1" applyAlignment="1">
      <alignment horizontal="center"/>
    </xf>
    <xf numFmtId="2" fontId="30" fillId="0" borderId="10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19" fillId="2" borderId="11" xfId="1" applyNumberFormat="1" applyFont="1" applyFill="1" applyBorder="1" applyAlignment="1" applyProtection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53" fillId="0" borderId="5" xfId="1" applyNumberFormat="1" applyFont="1" applyFill="1" applyBorder="1" applyAlignment="1" applyProtection="1">
      <alignment horizontal="center" vertical="center" wrapText="1"/>
    </xf>
    <xf numFmtId="2" fontId="53" fillId="0" borderId="9" xfId="1" applyNumberFormat="1" applyFont="1" applyFill="1" applyBorder="1" applyAlignment="1" applyProtection="1">
      <alignment horizontal="center" vertical="center" wrapText="1"/>
    </xf>
    <xf numFmtId="2" fontId="53" fillId="0" borderId="10" xfId="1" applyNumberFormat="1" applyFont="1" applyFill="1" applyBorder="1" applyAlignment="1" applyProtection="1">
      <alignment horizontal="center" vertical="center" wrapText="1"/>
    </xf>
    <xf numFmtId="2" fontId="19" fillId="2" borderId="2" xfId="1" applyNumberFormat="1" applyFont="1" applyFill="1" applyBorder="1" applyAlignment="1" applyProtection="1">
      <alignment horizontal="center" vertical="center"/>
    </xf>
    <xf numFmtId="2" fontId="19" fillId="2" borderId="8" xfId="1" applyNumberFormat="1" applyFont="1" applyFill="1" applyBorder="1" applyAlignment="1" applyProtection="1">
      <alignment horizontal="center" vertical="center"/>
    </xf>
    <xf numFmtId="2" fontId="19" fillId="0" borderId="1" xfId="1" applyNumberFormat="1" applyFont="1" applyFill="1" applyBorder="1" applyAlignment="1" applyProtection="1">
      <alignment horizontal="center" vertical="center"/>
    </xf>
    <xf numFmtId="2" fontId="19" fillId="2" borderId="2" xfId="0" applyNumberFormat="1" applyFont="1" applyFill="1" applyBorder="1" applyAlignment="1">
      <alignment horizontal="center"/>
    </xf>
    <xf numFmtId="2" fontId="19" fillId="2" borderId="8" xfId="0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 applyProtection="1">
      <alignment horizontal="center" vertical="center"/>
    </xf>
    <xf numFmtId="2" fontId="19" fillId="2" borderId="11" xfId="1" applyNumberFormat="1" applyFont="1" applyFill="1" applyBorder="1" applyAlignment="1" applyProtection="1">
      <alignment horizontal="center" vertical="center"/>
    </xf>
    <xf numFmtId="2" fontId="7" fillId="0" borderId="2" xfId="1" applyNumberFormat="1" applyFont="1" applyFill="1" applyBorder="1" applyAlignment="1" applyProtection="1">
      <alignment horizontal="center" vertical="center" wrapText="1"/>
    </xf>
    <xf numFmtId="2" fontId="7" fillId="0" borderId="11" xfId="1" applyNumberFormat="1" applyFont="1" applyFill="1" applyBorder="1" applyAlignment="1" applyProtection="1">
      <alignment horizontal="center" vertical="center" wrapText="1"/>
    </xf>
    <xf numFmtId="2" fontId="7" fillId="0" borderId="8" xfId="1" applyNumberFormat="1" applyFont="1" applyFill="1" applyBorder="1" applyAlignment="1" applyProtection="1">
      <alignment horizontal="center" vertical="center" wrapText="1"/>
    </xf>
    <xf numFmtId="2" fontId="19" fillId="0" borderId="2" xfId="1" applyNumberFormat="1" applyFont="1" applyFill="1" applyBorder="1" applyAlignment="1" applyProtection="1">
      <alignment horizontal="center" vertical="center"/>
    </xf>
    <xf numFmtId="2" fontId="19" fillId="0" borderId="11" xfId="1" applyNumberFormat="1" applyFont="1" applyFill="1" applyBorder="1" applyAlignment="1" applyProtection="1">
      <alignment horizontal="center" vertical="center"/>
    </xf>
    <xf numFmtId="2" fontId="19" fillId="0" borderId="8" xfId="1" applyNumberFormat="1" applyFont="1" applyFill="1" applyBorder="1" applyAlignment="1" applyProtection="1">
      <alignment horizontal="center" vertical="center"/>
    </xf>
    <xf numFmtId="2" fontId="7" fillId="0" borderId="2" xfId="1" applyNumberFormat="1" applyFont="1" applyFill="1" applyBorder="1" applyAlignment="1" applyProtection="1">
      <alignment horizontal="center" vertical="center"/>
    </xf>
    <xf numFmtId="2" fontId="7" fillId="0" borderId="11" xfId="1" applyNumberFormat="1" applyFont="1" applyFill="1" applyBorder="1" applyAlignment="1" applyProtection="1">
      <alignment horizontal="center" vertical="center"/>
    </xf>
    <xf numFmtId="2" fontId="7" fillId="0" borderId="8" xfId="1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2" fontId="43" fillId="0" borderId="5" xfId="0" applyNumberFormat="1" applyFont="1" applyBorder="1" applyAlignment="1">
      <alignment horizontal="center"/>
    </xf>
    <xf numFmtId="2" fontId="43" fillId="0" borderId="9" xfId="0" applyNumberFormat="1" applyFont="1" applyBorder="1" applyAlignment="1">
      <alignment horizontal="center"/>
    </xf>
    <xf numFmtId="2" fontId="43" fillId="0" borderId="10" xfId="0" applyNumberFormat="1" applyFont="1" applyBorder="1" applyAlignment="1">
      <alignment horizontal="center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9" fillId="0" borderId="9" xfId="1" applyNumberFormat="1" applyFont="1" applyFill="1" applyBorder="1" applyAlignment="1" applyProtection="1">
      <alignment horizontal="center" vertical="top" wrapText="1"/>
    </xf>
    <xf numFmtId="0" fontId="9" fillId="0" borderId="10" xfId="1" applyNumberFormat="1" applyFont="1" applyFill="1" applyBorder="1" applyAlignment="1" applyProtection="1">
      <alignment horizontal="center" vertical="top" wrapText="1"/>
    </xf>
    <xf numFmtId="0" fontId="30" fillId="0" borderId="3" xfId="1" applyNumberFormat="1" applyFont="1" applyFill="1" applyBorder="1" applyAlignment="1" applyProtection="1">
      <alignment horizontal="center" vertical="top" wrapText="1"/>
    </xf>
    <xf numFmtId="0" fontId="30" fillId="0" borderId="15" xfId="1" applyNumberFormat="1" applyFont="1" applyFill="1" applyBorder="1" applyAlignment="1" applyProtection="1">
      <alignment horizontal="center" vertical="top" wrapText="1"/>
    </xf>
    <xf numFmtId="0" fontId="30" fillId="0" borderId="16" xfId="1" applyNumberFormat="1" applyFont="1" applyFill="1" applyBorder="1" applyAlignment="1" applyProtection="1">
      <alignment horizontal="center" vertical="top" wrapText="1"/>
    </xf>
    <xf numFmtId="0" fontId="28" fillId="0" borderId="5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2" fontId="39" fillId="0" borderId="9" xfId="0" applyNumberFormat="1" applyFont="1" applyBorder="1" applyAlignment="1">
      <alignment horizontal="center"/>
    </xf>
    <xf numFmtId="2" fontId="39" fillId="0" borderId="10" xfId="0" applyNumberFormat="1" applyFont="1" applyBorder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2" borderId="9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center"/>
    </xf>
    <xf numFmtId="0" fontId="39" fillId="0" borderId="10" xfId="0" applyFont="1" applyBorder="1" applyAlignment="1">
      <alignment horizontal="center"/>
    </xf>
    <xf numFmtId="2" fontId="40" fillId="0" borderId="5" xfId="0" applyNumberFormat="1" applyFont="1" applyBorder="1" applyAlignment="1">
      <alignment horizontal="center" vertical="center"/>
    </xf>
    <xf numFmtId="2" fontId="40" fillId="0" borderId="9" xfId="0" applyNumberFormat="1" applyFont="1" applyBorder="1" applyAlignment="1">
      <alignment horizontal="center" vertical="center"/>
    </xf>
    <xf numFmtId="2" fontId="40" fillId="0" borderId="10" xfId="0" applyNumberFormat="1" applyFont="1" applyBorder="1" applyAlignment="1">
      <alignment horizontal="center" vertical="center"/>
    </xf>
    <xf numFmtId="2" fontId="30" fillId="0" borderId="5" xfId="0" applyNumberFormat="1" applyFont="1" applyBorder="1" applyAlignment="1">
      <alignment horizontal="center" vertical="center"/>
    </xf>
    <xf numFmtId="2" fontId="30" fillId="0" borderId="9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2" fontId="33" fillId="0" borderId="9" xfId="0" applyNumberFormat="1" applyFont="1" applyBorder="1" applyAlignment="1">
      <alignment horizontal="center"/>
    </xf>
    <xf numFmtId="2" fontId="33" fillId="0" borderId="10" xfId="0" applyNumberFormat="1" applyFont="1" applyBorder="1" applyAlignment="1">
      <alignment horizontal="center"/>
    </xf>
    <xf numFmtId="2" fontId="47" fillId="0" borderId="5" xfId="0" applyNumberFormat="1" applyFont="1" applyBorder="1" applyAlignment="1">
      <alignment horizontal="center"/>
    </xf>
    <xf numFmtId="2" fontId="44" fillId="0" borderId="9" xfId="0" applyNumberFormat="1" applyFont="1" applyBorder="1" applyAlignment="1">
      <alignment horizontal="center"/>
    </xf>
    <xf numFmtId="2" fontId="44" fillId="0" borderId="10" xfId="0" applyNumberFormat="1" applyFont="1" applyBorder="1" applyAlignment="1">
      <alignment horizontal="center"/>
    </xf>
    <xf numFmtId="2" fontId="48" fillId="0" borderId="9" xfId="0" applyNumberFormat="1" applyFont="1" applyBorder="1" applyAlignment="1">
      <alignment horizontal="center"/>
    </xf>
    <xf numFmtId="2" fontId="48" fillId="0" borderId="10" xfId="0" applyNumberFormat="1" applyFont="1" applyBorder="1" applyAlignment="1">
      <alignment horizont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0" fontId="24" fillId="0" borderId="8" xfId="0" applyFont="1" applyBorder="1"/>
    <xf numFmtId="0" fontId="16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9" fillId="0" borderId="9" xfId="1" applyNumberFormat="1" applyFont="1" applyFill="1" applyBorder="1" applyAlignment="1" applyProtection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2" fontId="16" fillId="0" borderId="9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30" fillId="0" borderId="5" xfId="1" applyNumberFormat="1" applyFont="1" applyFill="1" applyBorder="1" applyAlignment="1" applyProtection="1">
      <alignment horizontal="center" vertical="center" wrapText="1"/>
    </xf>
    <xf numFmtId="0" fontId="30" fillId="0" borderId="9" xfId="1" applyNumberFormat="1" applyFont="1" applyFill="1" applyBorder="1" applyAlignment="1" applyProtection="1">
      <alignment horizontal="center" vertical="center" wrapText="1"/>
    </xf>
    <xf numFmtId="0" fontId="30" fillId="0" borderId="10" xfId="1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2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/>
    </xf>
    <xf numFmtId="0" fontId="17" fillId="0" borderId="5" xfId="1" applyNumberFormat="1" applyFont="1" applyFill="1" applyBorder="1" applyAlignment="1" applyProtection="1">
      <alignment horizontal="center" vertical="top" wrapText="1"/>
    </xf>
    <xf numFmtId="0" fontId="17" fillId="0" borderId="9" xfId="1" applyNumberFormat="1" applyFont="1" applyFill="1" applyBorder="1" applyAlignment="1" applyProtection="1">
      <alignment horizontal="center" vertical="top" wrapText="1"/>
    </xf>
    <xf numFmtId="0" fontId="17" fillId="0" borderId="10" xfId="1" applyNumberFormat="1" applyFont="1" applyFill="1" applyBorder="1" applyAlignment="1" applyProtection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8"/>
  <sheetViews>
    <sheetView tabSelected="1" topLeftCell="A106" zoomScale="80" zoomScaleNormal="80" zoomScalePageLayoutView="62" workbookViewId="0">
      <selection sqref="A1:R1"/>
    </sheetView>
  </sheetViews>
  <sheetFormatPr defaultRowHeight="15" x14ac:dyDescent="0.25"/>
  <cols>
    <col min="1" max="1" width="3.42578125" customWidth="1"/>
    <col min="2" max="2" width="25.140625" customWidth="1"/>
    <col min="3" max="3" width="10.28515625" customWidth="1"/>
    <col min="6" max="6" width="8.42578125" customWidth="1"/>
    <col min="7" max="7" width="8.85546875" customWidth="1"/>
    <col min="8" max="8" width="11.5703125" customWidth="1"/>
    <col min="10" max="11" width="9.140625" customWidth="1"/>
    <col min="14" max="15" width="9.140625" customWidth="1"/>
    <col min="16" max="16" width="7.42578125" customWidth="1"/>
    <col min="17" max="17" width="9.5703125" customWidth="1"/>
    <col min="18" max="18" width="9.85546875" customWidth="1"/>
  </cols>
  <sheetData>
    <row r="1" spans="1:18" ht="33.75" customHeight="1" x14ac:dyDescent="0.25">
      <c r="A1" s="226" t="s">
        <v>94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</row>
    <row r="2" spans="1:18" ht="15.75" customHeight="1" x14ac:dyDescent="0.3">
      <c r="A2" s="34"/>
      <c r="B2" s="46"/>
      <c r="C2" s="46"/>
      <c r="D2" s="46"/>
      <c r="E2" s="46"/>
      <c r="F2" s="46"/>
      <c r="G2" s="46"/>
      <c r="H2" s="46"/>
      <c r="I2" s="46"/>
      <c r="J2" s="47"/>
      <c r="K2" s="48"/>
      <c r="L2" s="47"/>
      <c r="M2" s="47"/>
      <c r="N2" s="47"/>
      <c r="O2" s="47"/>
      <c r="P2" s="47"/>
      <c r="Q2" s="47"/>
      <c r="R2" s="45"/>
    </row>
    <row r="3" spans="1:18" ht="18.75" x14ac:dyDescent="0.25">
      <c r="A3" s="180"/>
      <c r="B3" s="182" t="s">
        <v>0</v>
      </c>
      <c r="C3" s="184" t="s">
        <v>98</v>
      </c>
      <c r="D3" s="177" t="s">
        <v>20</v>
      </c>
      <c r="E3" s="177" t="s">
        <v>19</v>
      </c>
      <c r="F3" s="187" t="s">
        <v>1</v>
      </c>
      <c r="G3" s="187" t="s">
        <v>2</v>
      </c>
      <c r="H3" s="190" t="s">
        <v>3</v>
      </c>
      <c r="I3" s="187" t="s">
        <v>4</v>
      </c>
      <c r="J3" s="179" t="s">
        <v>5</v>
      </c>
      <c r="K3" s="179"/>
      <c r="L3" s="179"/>
      <c r="M3" s="179" t="s">
        <v>6</v>
      </c>
      <c r="N3" s="179"/>
      <c r="O3" s="179"/>
      <c r="P3" s="179"/>
      <c r="Q3" s="187" t="s">
        <v>66</v>
      </c>
      <c r="R3" s="227" t="s">
        <v>120</v>
      </c>
    </row>
    <row r="4" spans="1:18" ht="27.75" customHeight="1" x14ac:dyDescent="0.25">
      <c r="A4" s="181"/>
      <c r="B4" s="182"/>
      <c r="C4" s="185"/>
      <c r="D4" s="183"/>
      <c r="E4" s="183"/>
      <c r="F4" s="188"/>
      <c r="G4" s="188"/>
      <c r="H4" s="191"/>
      <c r="I4" s="188"/>
      <c r="J4" s="187" t="s">
        <v>7</v>
      </c>
      <c r="K4" s="177" t="s">
        <v>8</v>
      </c>
      <c r="L4" s="187" t="s">
        <v>9</v>
      </c>
      <c r="M4" s="187" t="s">
        <v>10</v>
      </c>
      <c r="N4" s="187" t="s">
        <v>11</v>
      </c>
      <c r="O4" s="187" t="s">
        <v>12</v>
      </c>
      <c r="P4" s="187" t="s">
        <v>13</v>
      </c>
      <c r="Q4" s="188"/>
      <c r="R4" s="228"/>
    </row>
    <row r="5" spans="1:18" ht="25.5" customHeight="1" x14ac:dyDescent="0.3">
      <c r="A5" s="61"/>
      <c r="B5" s="62" t="s">
        <v>14</v>
      </c>
      <c r="C5" s="186"/>
      <c r="D5" s="178"/>
      <c r="E5" s="178"/>
      <c r="F5" s="189"/>
      <c r="G5" s="189"/>
      <c r="H5" s="192"/>
      <c r="I5" s="189"/>
      <c r="J5" s="189"/>
      <c r="K5" s="178"/>
      <c r="L5" s="189"/>
      <c r="M5" s="189"/>
      <c r="N5" s="189"/>
      <c r="O5" s="189"/>
      <c r="P5" s="189"/>
      <c r="Q5" s="189"/>
      <c r="R5" s="229"/>
    </row>
    <row r="6" spans="1:18" s="68" customFormat="1" ht="26.25" customHeight="1" x14ac:dyDescent="0.35">
      <c r="A6" s="67"/>
      <c r="B6" s="205" t="s">
        <v>123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</row>
    <row r="7" spans="1:18" s="68" customFormat="1" ht="22.5" customHeight="1" x14ac:dyDescent="0.3">
      <c r="A7" s="67"/>
      <c r="B7" s="69" t="s">
        <v>79</v>
      </c>
      <c r="C7" s="70">
        <v>50</v>
      </c>
      <c r="D7" s="70">
        <v>0</v>
      </c>
      <c r="E7" s="70">
        <v>50</v>
      </c>
      <c r="F7" s="70">
        <f>E7*12.6%</f>
        <v>6.3</v>
      </c>
      <c r="G7" s="70">
        <f>E7*3.3%</f>
        <v>1.6500000000000001</v>
      </c>
      <c r="H7" s="70">
        <f>E7*62.1%</f>
        <v>31.05</v>
      </c>
      <c r="I7" s="70">
        <f>E7*335%</f>
        <v>167.5</v>
      </c>
      <c r="J7" s="70">
        <f>E7*0.43%</f>
        <v>0.215</v>
      </c>
      <c r="K7" s="70">
        <v>0</v>
      </c>
      <c r="L7" s="70">
        <v>0</v>
      </c>
      <c r="M7" s="70">
        <f>E7*20%</f>
        <v>10</v>
      </c>
      <c r="N7" s="70">
        <f>E7*298%</f>
        <v>149</v>
      </c>
      <c r="O7" s="70">
        <f>E7*200%</f>
        <v>100</v>
      </c>
      <c r="P7" s="70">
        <f>E7*6.7%</f>
        <v>3.35</v>
      </c>
      <c r="Q7" s="70">
        <v>65</v>
      </c>
      <c r="R7" s="71">
        <f>C7/1000*65</f>
        <v>3.25</v>
      </c>
    </row>
    <row r="8" spans="1:18" s="68" customFormat="1" ht="22.5" customHeight="1" x14ac:dyDescent="0.3">
      <c r="A8" s="72"/>
      <c r="B8" s="69" t="s">
        <v>22</v>
      </c>
      <c r="C8" s="70">
        <v>10</v>
      </c>
      <c r="D8" s="70">
        <v>0</v>
      </c>
      <c r="E8" s="70">
        <f>C8-D8</f>
        <v>10</v>
      </c>
      <c r="F8" s="70">
        <f>E8*0.5%</f>
        <v>0.05</v>
      </c>
      <c r="G8" s="70">
        <f>E8*82.5%</f>
        <v>8.25</v>
      </c>
      <c r="H8" s="70">
        <f>E8*0.8%</f>
        <v>0.08</v>
      </c>
      <c r="I8" s="70">
        <f>E8*748%</f>
        <v>74.800000000000011</v>
      </c>
      <c r="J8" s="70">
        <v>0</v>
      </c>
      <c r="K8" s="70">
        <v>0</v>
      </c>
      <c r="L8" s="70">
        <f>E8*0.59%</f>
        <v>5.8999999999999997E-2</v>
      </c>
      <c r="M8" s="70">
        <f>E8*12%</f>
        <v>1.2</v>
      </c>
      <c r="N8" s="70">
        <f>E8*19%</f>
        <v>1.9</v>
      </c>
      <c r="O8" s="70">
        <f>E8*0.4%</f>
        <v>0.04</v>
      </c>
      <c r="P8" s="70">
        <f>E8*0.2%</f>
        <v>0.02</v>
      </c>
      <c r="Q8" s="70">
        <v>480</v>
      </c>
      <c r="R8" s="71">
        <f>C8/1000*480</f>
        <v>4.8</v>
      </c>
    </row>
    <row r="9" spans="1:18" s="78" customFormat="1" ht="22.5" customHeight="1" x14ac:dyDescent="0.25">
      <c r="A9" s="79"/>
      <c r="B9" s="80" t="s">
        <v>69</v>
      </c>
      <c r="C9" s="76">
        <f>C8+C7</f>
        <v>60</v>
      </c>
      <c r="D9" s="76">
        <f>SUM(D7:D8)</f>
        <v>0</v>
      </c>
      <c r="E9" s="76">
        <v>150</v>
      </c>
      <c r="F9" s="76">
        <f t="shared" ref="F9:P9" si="0">SUM(F7:F8)</f>
        <v>6.35</v>
      </c>
      <c r="G9" s="76">
        <f t="shared" si="0"/>
        <v>9.9</v>
      </c>
      <c r="H9" s="76">
        <f t="shared" si="0"/>
        <v>31.13</v>
      </c>
      <c r="I9" s="76">
        <f t="shared" si="0"/>
        <v>242.3</v>
      </c>
      <c r="J9" s="76">
        <f t="shared" si="0"/>
        <v>0.215</v>
      </c>
      <c r="K9" s="76">
        <f t="shared" si="0"/>
        <v>0</v>
      </c>
      <c r="L9" s="76">
        <f t="shared" si="0"/>
        <v>5.8999999999999997E-2</v>
      </c>
      <c r="M9" s="76">
        <f t="shared" si="0"/>
        <v>11.2</v>
      </c>
      <c r="N9" s="76">
        <f t="shared" si="0"/>
        <v>150.9</v>
      </c>
      <c r="O9" s="76">
        <f t="shared" si="0"/>
        <v>100.04</v>
      </c>
      <c r="P9" s="76">
        <f t="shared" si="0"/>
        <v>3.37</v>
      </c>
      <c r="Q9" s="76"/>
      <c r="R9" s="76">
        <f>SUM(R7:R8)</f>
        <v>8.0500000000000007</v>
      </c>
    </row>
    <row r="10" spans="1:18" ht="20.25" x14ac:dyDescent="0.3">
      <c r="A10" s="40"/>
      <c r="B10" s="199" t="s">
        <v>142</v>
      </c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1"/>
    </row>
    <row r="11" spans="1:18" s="109" customFormat="1" ht="22.5" customHeight="1" x14ac:dyDescent="0.25">
      <c r="A11" s="107"/>
      <c r="B11" s="108" t="s">
        <v>129</v>
      </c>
      <c r="C11" s="73">
        <v>60</v>
      </c>
      <c r="D11" s="73">
        <f>C11*26.4%</f>
        <v>15.84</v>
      </c>
      <c r="E11" s="73">
        <f>SUM(C11-D11)</f>
        <v>44.16</v>
      </c>
      <c r="F11" s="73">
        <f>E11*18.6%</f>
        <v>8.2137600000000006</v>
      </c>
      <c r="G11" s="73">
        <f>E11*16%</f>
        <v>7.0655999999999999</v>
      </c>
      <c r="H11" s="73">
        <v>0</v>
      </c>
      <c r="I11" s="73">
        <f>E11*218%</f>
        <v>96.268799999999999</v>
      </c>
      <c r="J11" s="73">
        <f>E11*0.06%</f>
        <v>2.6495999999999995E-2</v>
      </c>
      <c r="K11" s="73">
        <v>0</v>
      </c>
      <c r="L11" s="73">
        <v>0</v>
      </c>
      <c r="M11" s="73">
        <f>E11*9%</f>
        <v>3.9743999999999997</v>
      </c>
      <c r="N11" s="73">
        <f>E11*188%</f>
        <v>83.020799999999994</v>
      </c>
      <c r="O11" s="73">
        <f>E11*22%</f>
        <v>9.7151999999999994</v>
      </c>
      <c r="P11" s="73">
        <f>E11*2.7%</f>
        <v>1.19232</v>
      </c>
      <c r="Q11" s="73">
        <v>490</v>
      </c>
      <c r="R11" s="73">
        <f>C11/1000*490</f>
        <v>29.4</v>
      </c>
    </row>
    <row r="12" spans="1:18" s="74" customFormat="1" ht="18.75" x14ac:dyDescent="0.25">
      <c r="A12" s="107"/>
      <c r="B12" s="108" t="s">
        <v>15</v>
      </c>
      <c r="C12" s="73">
        <v>24</v>
      </c>
      <c r="D12" s="73">
        <v>5</v>
      </c>
      <c r="E12" s="73">
        <f>C12-D12</f>
        <v>19</v>
      </c>
      <c r="F12" s="73">
        <f>E12*1.3%</f>
        <v>0.24700000000000003</v>
      </c>
      <c r="G12" s="73">
        <v>0</v>
      </c>
      <c r="H12" s="73">
        <f>E12*7.2%</f>
        <v>1.3680000000000001</v>
      </c>
      <c r="I12" s="73">
        <f>E12*30%</f>
        <v>5.7</v>
      </c>
      <c r="J12" s="73">
        <f>E12*0.06%</f>
        <v>1.1399999999999999E-2</v>
      </c>
      <c r="K12" s="73">
        <f>E12*5%</f>
        <v>0.95000000000000007</v>
      </c>
      <c r="L12" s="73">
        <v>0</v>
      </c>
      <c r="M12" s="73">
        <f>E12*51%</f>
        <v>9.69</v>
      </c>
      <c r="N12" s="73">
        <f>E12*55%</f>
        <v>10.450000000000001</v>
      </c>
      <c r="O12" s="73">
        <f>E12*38%</f>
        <v>7.22</v>
      </c>
      <c r="P12" s="73">
        <f>E12*0.7%</f>
        <v>0.13299999999999998</v>
      </c>
      <c r="Q12" s="73">
        <v>60</v>
      </c>
      <c r="R12" s="73">
        <f>C12/1000*60</f>
        <v>1.44</v>
      </c>
    </row>
    <row r="13" spans="1:18" s="74" customFormat="1" ht="18.75" x14ac:dyDescent="0.25">
      <c r="A13" s="107"/>
      <c r="B13" s="108" t="s">
        <v>73</v>
      </c>
      <c r="C13" s="73">
        <v>23</v>
      </c>
      <c r="D13" s="73">
        <f>C13*0.16</f>
        <v>3.68</v>
      </c>
      <c r="E13" s="73">
        <f>C13-D13</f>
        <v>19.32</v>
      </c>
      <c r="F13" s="73">
        <f>E13*1.4%</f>
        <v>0.27048</v>
      </c>
      <c r="G13" s="74">
        <v>0</v>
      </c>
      <c r="H13" s="73">
        <f>E13*9.1%</f>
        <v>1.7581199999999999</v>
      </c>
      <c r="I13" s="73">
        <f>E13*41%</f>
        <v>7.9211999999999998</v>
      </c>
      <c r="J13" s="73">
        <f>E13*0.05%</f>
        <v>9.6600000000000002E-3</v>
      </c>
      <c r="K13" s="73">
        <f>E13*10%</f>
        <v>1.9320000000000002</v>
      </c>
      <c r="L13" s="73">
        <v>0</v>
      </c>
      <c r="M13" s="73">
        <f>E13*31%</f>
        <v>5.9892000000000003</v>
      </c>
      <c r="N13" s="73">
        <f>E13*58%</f>
        <v>11.205599999999999</v>
      </c>
      <c r="O13" s="73">
        <f>E13*14%</f>
        <v>2.7048000000000001</v>
      </c>
      <c r="P13" s="73">
        <f>E13*0.8%</f>
        <v>0.15456</v>
      </c>
      <c r="Q13" s="73">
        <v>40</v>
      </c>
      <c r="R13" s="73">
        <f>C13/1000*40</f>
        <v>0.91999999999999993</v>
      </c>
    </row>
    <row r="14" spans="1:18" s="74" customFormat="1" ht="18.75" x14ac:dyDescent="0.25">
      <c r="A14" s="110"/>
      <c r="B14" s="120" t="s">
        <v>81</v>
      </c>
      <c r="C14" s="120">
        <v>6</v>
      </c>
      <c r="D14" s="120">
        <v>0</v>
      </c>
      <c r="E14" s="120">
        <f>C14-D14</f>
        <v>6</v>
      </c>
      <c r="F14" s="120">
        <f>E14*7.9%</f>
        <v>0.47399999999999998</v>
      </c>
      <c r="G14" s="120">
        <f>E14*1%</f>
        <v>0.06</v>
      </c>
      <c r="H14" s="120">
        <f>E14*48.1%</f>
        <v>2.8860000000000001</v>
      </c>
      <c r="I14" s="120">
        <f>E14*239%</f>
        <v>14.34</v>
      </c>
      <c r="J14" s="120">
        <f>E14*0.16%</f>
        <v>9.6000000000000009E-3</v>
      </c>
      <c r="K14" s="120">
        <v>0</v>
      </c>
      <c r="L14" s="120">
        <v>0</v>
      </c>
      <c r="M14" s="120">
        <f>E14*23%</f>
        <v>1.3800000000000001</v>
      </c>
      <c r="N14" s="120">
        <f>E14*87%</f>
        <v>5.22</v>
      </c>
      <c r="O14" s="120">
        <f>E14*33%</f>
        <v>1.98</v>
      </c>
      <c r="P14" s="120">
        <f>E14*2%</f>
        <v>0.12</v>
      </c>
      <c r="Q14" s="120">
        <v>30</v>
      </c>
      <c r="R14" s="120">
        <f>C14/1000*30</f>
        <v>0.18</v>
      </c>
    </row>
    <row r="15" spans="1:18" s="74" customFormat="1" x14ac:dyDescent="0.25">
      <c r="A15" s="121"/>
      <c r="B15" s="65" t="s">
        <v>26</v>
      </c>
      <c r="C15" s="65">
        <v>3</v>
      </c>
      <c r="D15" s="65">
        <v>0</v>
      </c>
      <c r="E15" s="65">
        <f>SUM(C15:D15)</f>
        <v>3</v>
      </c>
      <c r="F15" s="65">
        <f>E15*1%</f>
        <v>0.03</v>
      </c>
      <c r="G15" s="65">
        <v>0</v>
      </c>
      <c r="H15" s="65">
        <f>E15*3.5%</f>
        <v>0.10500000000000001</v>
      </c>
      <c r="I15" s="65">
        <f>E15*19%</f>
        <v>0.57000000000000006</v>
      </c>
      <c r="J15" s="65">
        <f>E15*0.03%</f>
        <v>8.9999999999999998E-4</v>
      </c>
      <c r="K15" s="65">
        <f>E15*10%</f>
        <v>0.30000000000000004</v>
      </c>
      <c r="L15" s="65">
        <v>0</v>
      </c>
      <c r="M15" s="65">
        <f>C15*7%</f>
        <v>0.21000000000000002</v>
      </c>
      <c r="N15" s="65">
        <f>E15*32%</f>
        <v>0.96</v>
      </c>
      <c r="O15" s="65">
        <f>E15*12%</f>
        <v>0.36</v>
      </c>
      <c r="P15" s="65">
        <f>E15*0.7%</f>
        <v>2.0999999999999998E-2</v>
      </c>
      <c r="Q15" s="65">
        <v>150</v>
      </c>
      <c r="R15" s="65">
        <f>C15/1000*150</f>
        <v>0.45</v>
      </c>
    </row>
    <row r="16" spans="1:18" s="74" customFormat="1" ht="18.75" x14ac:dyDescent="0.25">
      <c r="A16" s="107"/>
      <c r="B16" s="108" t="s">
        <v>25</v>
      </c>
      <c r="C16" s="73">
        <v>5</v>
      </c>
      <c r="D16" s="73">
        <v>0</v>
      </c>
      <c r="E16" s="73">
        <f>SUM(C16:D16)</f>
        <v>5</v>
      </c>
      <c r="F16" s="73">
        <v>0</v>
      </c>
      <c r="G16" s="84">
        <f>E16*0.999</f>
        <v>4.9950000000000001</v>
      </c>
      <c r="H16" s="73">
        <v>0</v>
      </c>
      <c r="I16" s="73">
        <f>E16*8.99%</f>
        <v>0.44950000000000001</v>
      </c>
      <c r="J16" s="73">
        <f>E16*0.06%</f>
        <v>2.9999999999999996E-3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150</v>
      </c>
      <c r="R16" s="73">
        <f>C16/1000*150</f>
        <v>0.75</v>
      </c>
    </row>
    <row r="17" spans="1:18" s="78" customFormat="1" ht="18.75" x14ac:dyDescent="0.25">
      <c r="A17" s="75"/>
      <c r="B17" s="63" t="s">
        <v>69</v>
      </c>
      <c r="C17" s="76">
        <f t="shared" ref="C17:P17" si="1">SUM(C11:C16)</f>
        <v>121</v>
      </c>
      <c r="D17" s="76">
        <f t="shared" si="1"/>
        <v>24.52</v>
      </c>
      <c r="E17" s="76">
        <f t="shared" si="1"/>
        <v>96.47999999999999</v>
      </c>
      <c r="F17" s="76">
        <f t="shared" si="1"/>
        <v>9.2352399999999992</v>
      </c>
      <c r="G17" s="76">
        <f t="shared" si="1"/>
        <v>12.1206</v>
      </c>
      <c r="H17" s="76">
        <f t="shared" si="1"/>
        <v>6.1171200000000008</v>
      </c>
      <c r="I17" s="76">
        <f t="shared" si="1"/>
        <v>125.2495</v>
      </c>
      <c r="J17" s="76">
        <f t="shared" si="1"/>
        <v>6.1055999999999999E-2</v>
      </c>
      <c r="K17" s="76">
        <f t="shared" si="1"/>
        <v>3.1820000000000004</v>
      </c>
      <c r="L17" s="76">
        <f t="shared" si="1"/>
        <v>0</v>
      </c>
      <c r="M17" s="76">
        <f t="shared" si="1"/>
        <v>21.243599999999997</v>
      </c>
      <c r="N17" s="76">
        <f t="shared" si="1"/>
        <v>110.85639999999999</v>
      </c>
      <c r="O17" s="76">
        <f t="shared" si="1"/>
        <v>21.979999999999997</v>
      </c>
      <c r="P17" s="76">
        <f t="shared" si="1"/>
        <v>1.6208800000000001</v>
      </c>
      <c r="Q17" s="76"/>
      <c r="R17" s="76">
        <f t="shared" ref="R17" si="2">SUM(R11:R16)</f>
        <v>33.14</v>
      </c>
    </row>
    <row r="18" spans="1:18" ht="18.75" customHeight="1" x14ac:dyDescent="0.25">
      <c r="A18" s="213" t="s">
        <v>124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5"/>
    </row>
    <row r="19" spans="1:18" s="123" customFormat="1" ht="18" customHeight="1" x14ac:dyDescent="0.25">
      <c r="A19" s="122"/>
      <c r="B19" s="50" t="s">
        <v>69</v>
      </c>
      <c r="C19" s="50">
        <v>30</v>
      </c>
      <c r="D19" s="50">
        <v>0</v>
      </c>
      <c r="E19" s="50">
        <v>30</v>
      </c>
      <c r="F19" s="50">
        <f>E19*7.9%</f>
        <v>2.37</v>
      </c>
      <c r="G19" s="50">
        <f>E19*1%</f>
        <v>0.3</v>
      </c>
      <c r="H19" s="50">
        <f>E19*48.1%</f>
        <v>14.430000000000001</v>
      </c>
      <c r="I19" s="50">
        <f>E19*239%</f>
        <v>71.7</v>
      </c>
      <c r="J19" s="50">
        <f>E19*0.16%</f>
        <v>4.8000000000000001E-2</v>
      </c>
      <c r="K19" s="50">
        <v>0</v>
      </c>
      <c r="L19" s="50">
        <v>0</v>
      </c>
      <c r="M19" s="50">
        <f>E19*23%</f>
        <v>6.9</v>
      </c>
      <c r="N19" s="50">
        <f>E19*87%</f>
        <v>26.1</v>
      </c>
      <c r="O19" s="50">
        <f>E19*33%</f>
        <v>9.9</v>
      </c>
      <c r="P19" s="50">
        <f>E19*2%</f>
        <v>0.6</v>
      </c>
      <c r="Q19" s="50">
        <v>50</v>
      </c>
      <c r="R19" s="50">
        <f>C19/1000*50</f>
        <v>1.5</v>
      </c>
    </row>
    <row r="20" spans="1:18" ht="21" x14ac:dyDescent="0.35">
      <c r="A20" s="40"/>
      <c r="B20" s="157" t="s">
        <v>110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8"/>
    </row>
    <row r="21" spans="1:18" ht="18.75" x14ac:dyDescent="0.3">
      <c r="A21" s="36"/>
      <c r="B21" s="4" t="s">
        <v>52</v>
      </c>
      <c r="C21" s="4">
        <v>1</v>
      </c>
      <c r="D21" s="4">
        <v>0</v>
      </c>
      <c r="E21" s="4">
        <f>C21-D21</f>
        <v>1</v>
      </c>
      <c r="F21" s="4">
        <f>E21*21.74%</f>
        <v>0.21739999999999998</v>
      </c>
      <c r="G21" s="4">
        <f>E21*7.61%</f>
        <v>7.6100000000000001E-2</v>
      </c>
      <c r="H21" s="4">
        <f>E21*2.86%</f>
        <v>2.86E-2</v>
      </c>
      <c r="I21" s="4">
        <f>E21*9.18%</f>
        <v>9.1799999999999993E-2</v>
      </c>
      <c r="J21" s="4">
        <f>E21*4.7%</f>
        <v>4.7E-2</v>
      </c>
      <c r="K21" s="4">
        <f>E21*11%</f>
        <v>0.11</v>
      </c>
      <c r="L21" s="4">
        <f>E21*5.6%</f>
        <v>5.5999999999999994E-2</v>
      </c>
      <c r="M21" s="4">
        <f>E21*50%</f>
        <v>0.5</v>
      </c>
      <c r="N21" s="4">
        <f>E21*10%</f>
        <v>0.1</v>
      </c>
      <c r="O21" s="4">
        <f>E21*110%</f>
        <v>1.1000000000000001</v>
      </c>
      <c r="P21" s="4">
        <f>E21*456%</f>
        <v>4.5599999999999996</v>
      </c>
      <c r="Q21" s="4">
        <v>950</v>
      </c>
      <c r="R21" s="4">
        <f>C21/1000*950</f>
        <v>0.95000000000000007</v>
      </c>
    </row>
    <row r="22" spans="1:18" ht="18.75" x14ac:dyDescent="0.3">
      <c r="A22" s="40"/>
      <c r="B22" s="4" t="s">
        <v>68</v>
      </c>
      <c r="C22" s="4">
        <v>15</v>
      </c>
      <c r="D22" s="4">
        <v>0</v>
      </c>
      <c r="E22" s="4">
        <v>15</v>
      </c>
      <c r="F22" s="4">
        <v>0</v>
      </c>
      <c r="G22" s="4">
        <v>0</v>
      </c>
      <c r="H22" s="4">
        <f>E22*99.8%</f>
        <v>14.97</v>
      </c>
      <c r="I22" s="4">
        <f>E22*379%</f>
        <v>56.85</v>
      </c>
      <c r="J22" s="4">
        <v>0</v>
      </c>
      <c r="K22" s="4">
        <v>0</v>
      </c>
      <c r="L22" s="4">
        <v>0</v>
      </c>
      <c r="M22" s="4">
        <f>E22*2%</f>
        <v>0.3</v>
      </c>
      <c r="N22" s="4">
        <v>0</v>
      </c>
      <c r="O22" s="4">
        <v>0</v>
      </c>
      <c r="P22" s="4">
        <f>E22*0.3%</f>
        <v>4.4999999999999998E-2</v>
      </c>
      <c r="Q22" s="4">
        <v>60</v>
      </c>
      <c r="R22" s="4">
        <f>C22/1000*60</f>
        <v>0.89999999999999991</v>
      </c>
    </row>
    <row r="23" spans="1:18" s="78" customFormat="1" ht="18.75" x14ac:dyDescent="0.25">
      <c r="A23" s="79"/>
      <c r="B23" s="63" t="s">
        <v>69</v>
      </c>
      <c r="C23" s="76">
        <f>SUM(C21:C22)</f>
        <v>16</v>
      </c>
      <c r="D23" s="76">
        <f>SUM(D22:D22)</f>
        <v>0</v>
      </c>
      <c r="E23" s="76">
        <v>150</v>
      </c>
      <c r="F23" s="76">
        <f t="shared" ref="F23:P23" si="3">SUM(F22:F22)</f>
        <v>0</v>
      </c>
      <c r="G23" s="76">
        <f t="shared" si="3"/>
        <v>0</v>
      </c>
      <c r="H23" s="76">
        <f t="shared" si="3"/>
        <v>14.97</v>
      </c>
      <c r="I23" s="76">
        <f t="shared" si="3"/>
        <v>56.85</v>
      </c>
      <c r="J23" s="76">
        <f t="shared" si="3"/>
        <v>0</v>
      </c>
      <c r="K23" s="76">
        <f t="shared" si="3"/>
        <v>0</v>
      </c>
      <c r="L23" s="76">
        <f t="shared" si="3"/>
        <v>0</v>
      </c>
      <c r="M23" s="76">
        <f t="shared" si="3"/>
        <v>0.3</v>
      </c>
      <c r="N23" s="76">
        <f t="shared" si="3"/>
        <v>0</v>
      </c>
      <c r="O23" s="76">
        <f t="shared" si="3"/>
        <v>0</v>
      </c>
      <c r="P23" s="76">
        <f t="shared" si="3"/>
        <v>4.4999999999999998E-2</v>
      </c>
      <c r="Q23" s="76"/>
      <c r="R23" s="76">
        <f>SUM(R21:R22)</f>
        <v>1.85</v>
      </c>
    </row>
    <row r="24" spans="1:18" ht="27" customHeight="1" x14ac:dyDescent="0.35">
      <c r="A24" s="36"/>
      <c r="B24" s="162" t="s">
        <v>117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/>
    </row>
    <row r="25" spans="1:18" s="78" customFormat="1" ht="18.75" x14ac:dyDescent="0.25">
      <c r="A25" s="75"/>
      <c r="B25" s="63" t="s">
        <v>69</v>
      </c>
      <c r="C25" s="76">
        <v>40</v>
      </c>
      <c r="D25" s="76">
        <v>0</v>
      </c>
      <c r="E25" s="76">
        <f>C25-D25</f>
        <v>40</v>
      </c>
      <c r="F25" s="77">
        <f>E25*7.5%</f>
        <v>3</v>
      </c>
      <c r="G25" s="77">
        <f>E25*11.8%</f>
        <v>4.7200000000000006</v>
      </c>
      <c r="H25" s="77">
        <f>E25*74.4%</f>
        <v>29.760000000000005</v>
      </c>
      <c r="I25" s="77">
        <f>E25*436%</f>
        <v>174.4</v>
      </c>
      <c r="J25" s="77">
        <f>E25*0.08%</f>
        <v>3.2000000000000001E-2</v>
      </c>
      <c r="K25" s="77">
        <f>E25*0%</f>
        <v>0</v>
      </c>
      <c r="L25" s="77">
        <f>E25*0%</f>
        <v>0</v>
      </c>
      <c r="M25" s="77">
        <f>E25*29%</f>
        <v>11.6</v>
      </c>
      <c r="N25" s="77">
        <f>E25*90%</f>
        <v>36</v>
      </c>
      <c r="O25" s="77">
        <f>E25*20%</f>
        <v>8</v>
      </c>
      <c r="P25" s="77">
        <f>E25*2.1%</f>
        <v>0.84000000000000008</v>
      </c>
      <c r="Q25" s="77">
        <v>160</v>
      </c>
      <c r="R25" s="76">
        <f>C25/1000*160</f>
        <v>6.4</v>
      </c>
    </row>
    <row r="26" spans="1:18" ht="25.5" customHeight="1" x14ac:dyDescent="0.25">
      <c r="A26" s="213" t="s">
        <v>96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5"/>
    </row>
    <row r="27" spans="1:18" s="83" customFormat="1" ht="22.5" customHeight="1" x14ac:dyDescent="0.25">
      <c r="A27" s="81"/>
      <c r="B27" s="82" t="s">
        <v>69</v>
      </c>
      <c r="C27" s="82">
        <v>100</v>
      </c>
      <c r="D27" s="82">
        <v>0</v>
      </c>
      <c r="E27" s="82">
        <v>100</v>
      </c>
      <c r="F27" s="82">
        <f>E27*0.4%</f>
        <v>0.4</v>
      </c>
      <c r="G27" s="82">
        <f>E27*0.4%</f>
        <v>0.4</v>
      </c>
      <c r="H27" s="82">
        <f>E27*9.8%</f>
        <v>9.8000000000000007</v>
      </c>
      <c r="I27" s="82">
        <f>E27*45%</f>
        <v>45</v>
      </c>
      <c r="J27" s="82">
        <f>E27*0.03%</f>
        <v>0.03</v>
      </c>
      <c r="K27" s="82">
        <f>E27*13%</f>
        <v>13</v>
      </c>
      <c r="L27" s="82">
        <v>0</v>
      </c>
      <c r="M27" s="82">
        <f>E27*16%</f>
        <v>16</v>
      </c>
      <c r="N27" s="82">
        <f>E27*11%</f>
        <v>11</v>
      </c>
      <c r="O27" s="82">
        <f>E27*9%</f>
        <v>9</v>
      </c>
      <c r="P27" s="82">
        <f>E27*2.2%</f>
        <v>2.2000000000000002</v>
      </c>
      <c r="Q27" s="82">
        <v>100</v>
      </c>
      <c r="R27" s="82">
        <f>C27/1000*100</f>
        <v>10</v>
      </c>
    </row>
    <row r="28" spans="1:18" ht="22.5" customHeight="1" x14ac:dyDescent="0.25">
      <c r="A28" s="216" t="s">
        <v>97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8"/>
    </row>
    <row r="29" spans="1:18" ht="18.75" x14ac:dyDescent="0.25">
      <c r="A29" s="63"/>
      <c r="B29" s="50" t="s">
        <v>69</v>
      </c>
      <c r="C29" s="50">
        <v>3</v>
      </c>
      <c r="D29" s="50">
        <v>0</v>
      </c>
      <c r="E29" s="50">
        <f>C29-D29</f>
        <v>3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20</v>
      </c>
      <c r="R29" s="50">
        <f>C29/1000*20</f>
        <v>0.06</v>
      </c>
    </row>
    <row r="30" spans="1:18" ht="29.25" customHeight="1" x14ac:dyDescent="0.25">
      <c r="A30" s="52"/>
      <c r="B30" s="50" t="s">
        <v>69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9">
        <f>R29+R27+R25+R23+R19+R17+R9</f>
        <v>61</v>
      </c>
    </row>
    <row r="31" spans="1:18" ht="29.25" customHeight="1" x14ac:dyDescent="0.25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124"/>
    </row>
    <row r="32" spans="1:18" ht="36.75" customHeight="1" x14ac:dyDescent="0.25">
      <c r="A32" s="57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ht="33" customHeight="1" x14ac:dyDescent="0.3">
      <c r="A33" s="60"/>
      <c r="B33" s="139" t="s">
        <v>0</v>
      </c>
      <c r="C33" s="55" t="s">
        <v>92</v>
      </c>
      <c r="D33" s="143" t="s">
        <v>20</v>
      </c>
      <c r="E33" s="143" t="s">
        <v>19</v>
      </c>
      <c r="F33" s="125" t="s">
        <v>1</v>
      </c>
      <c r="G33" s="125" t="s">
        <v>2</v>
      </c>
      <c r="H33" s="125" t="s">
        <v>3</v>
      </c>
      <c r="I33" s="125" t="s">
        <v>4</v>
      </c>
      <c r="J33" s="140" t="s">
        <v>5</v>
      </c>
      <c r="K33" s="140"/>
      <c r="L33" s="140"/>
      <c r="M33" s="140" t="s">
        <v>6</v>
      </c>
      <c r="N33" s="140"/>
      <c r="O33" s="140"/>
      <c r="P33" s="140"/>
      <c r="Q33" s="136" t="s">
        <v>66</v>
      </c>
      <c r="R33" s="247" t="s">
        <v>121</v>
      </c>
    </row>
    <row r="34" spans="1:18" ht="24" customHeight="1" x14ac:dyDescent="0.3">
      <c r="A34" s="60"/>
      <c r="B34" s="139"/>
      <c r="C34" s="147" t="s">
        <v>18</v>
      </c>
      <c r="D34" s="144"/>
      <c r="E34" s="144"/>
      <c r="F34" s="126"/>
      <c r="G34" s="126"/>
      <c r="H34" s="126"/>
      <c r="I34" s="126"/>
      <c r="J34" s="125" t="s">
        <v>7</v>
      </c>
      <c r="K34" s="141" t="s">
        <v>8</v>
      </c>
      <c r="L34" s="125" t="s">
        <v>9</v>
      </c>
      <c r="M34" s="125" t="s">
        <v>10</v>
      </c>
      <c r="N34" s="125" t="s">
        <v>11</v>
      </c>
      <c r="O34" s="125" t="s">
        <v>12</v>
      </c>
      <c r="P34" s="125" t="s">
        <v>13</v>
      </c>
      <c r="Q34" s="126"/>
      <c r="R34" s="248"/>
    </row>
    <row r="35" spans="1:18" ht="24" customHeight="1" x14ac:dyDescent="0.3">
      <c r="A35" s="60"/>
      <c r="B35" s="2" t="s">
        <v>70</v>
      </c>
      <c r="C35" s="230"/>
      <c r="D35" s="145"/>
      <c r="E35" s="145"/>
      <c r="F35" s="127"/>
      <c r="G35" s="127"/>
      <c r="H35" s="127"/>
      <c r="I35" s="127"/>
      <c r="J35" s="127"/>
      <c r="K35" s="142"/>
      <c r="L35" s="127"/>
      <c r="M35" s="127"/>
      <c r="N35" s="127"/>
      <c r="O35" s="127"/>
      <c r="P35" s="127"/>
      <c r="Q35" s="127"/>
      <c r="R35" s="249"/>
    </row>
    <row r="36" spans="1:18" s="99" customFormat="1" ht="19.5" customHeight="1" x14ac:dyDescent="0.25">
      <c r="A36" s="174" t="s">
        <v>95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</row>
    <row r="37" spans="1:18" s="113" customFormat="1" ht="22.5" customHeight="1" x14ac:dyDescent="0.25">
      <c r="A37" s="117"/>
      <c r="B37" s="118" t="s">
        <v>15</v>
      </c>
      <c r="C37" s="119">
        <v>15</v>
      </c>
      <c r="D37" s="119">
        <f>C37*0.2</f>
        <v>3</v>
      </c>
      <c r="E37" s="119">
        <f>C37-D37</f>
        <v>12</v>
      </c>
      <c r="F37" s="119">
        <f>E37*1.3%</f>
        <v>0.15600000000000003</v>
      </c>
      <c r="G37" s="119">
        <f>E37*0.001</f>
        <v>1.2E-2</v>
      </c>
      <c r="H37" s="119">
        <f>E37*0.072</f>
        <v>0.86399999999999988</v>
      </c>
      <c r="I37" s="119">
        <f>E37*0.3</f>
        <v>3.5999999999999996</v>
      </c>
      <c r="J37" s="119">
        <f>E37*0.06%</f>
        <v>7.1999999999999998E-3</v>
      </c>
      <c r="K37" s="119">
        <f>E37*5%</f>
        <v>0.60000000000000009</v>
      </c>
      <c r="L37" s="119">
        <v>0</v>
      </c>
      <c r="M37" s="119">
        <f>E37*51%</f>
        <v>6.12</v>
      </c>
      <c r="N37" s="119">
        <f>E37*55%</f>
        <v>6.6000000000000005</v>
      </c>
      <c r="O37" s="119">
        <f>E37*38%</f>
        <v>4.5600000000000005</v>
      </c>
      <c r="P37" s="119">
        <f>E37*0.7%</f>
        <v>8.3999999999999991E-2</v>
      </c>
      <c r="Q37" s="119">
        <v>60</v>
      </c>
      <c r="R37" s="119">
        <f>C37/1000*60</f>
        <v>0.89999999999999991</v>
      </c>
    </row>
    <row r="38" spans="1:18" s="74" customFormat="1" ht="19.5" customHeight="1" x14ac:dyDescent="0.25">
      <c r="A38" s="85"/>
      <c r="B38" s="1" t="s">
        <v>77</v>
      </c>
      <c r="C38" s="73">
        <v>5</v>
      </c>
      <c r="D38" s="73">
        <v>0</v>
      </c>
      <c r="E38" s="73">
        <f>C38-D38</f>
        <v>5</v>
      </c>
      <c r="F38" s="73">
        <v>0</v>
      </c>
      <c r="G38" s="84">
        <f>E38*0.999</f>
        <v>4.9950000000000001</v>
      </c>
      <c r="H38" s="73">
        <v>0</v>
      </c>
      <c r="I38" s="73">
        <f>E38*8.99</f>
        <v>44.95</v>
      </c>
      <c r="J38" s="73">
        <f>E38*0.06%</f>
        <v>2.9999999999999996E-3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180</v>
      </c>
      <c r="R38" s="73">
        <f>C38/1000*180</f>
        <v>0.9</v>
      </c>
    </row>
    <row r="39" spans="1:18" s="113" customFormat="1" ht="22.5" customHeight="1" x14ac:dyDescent="0.25">
      <c r="A39" s="85"/>
      <c r="B39" s="118" t="s">
        <v>16</v>
      </c>
      <c r="C39" s="119">
        <v>25</v>
      </c>
      <c r="D39" s="119">
        <f>C39*0.2</f>
        <v>5</v>
      </c>
      <c r="E39" s="119">
        <f>C39-D39</f>
        <v>20</v>
      </c>
      <c r="F39" s="119">
        <f>E39*0.018</f>
        <v>0.36</v>
      </c>
      <c r="G39" s="119">
        <f>E39*0.001</f>
        <v>0.02</v>
      </c>
      <c r="H39" s="119">
        <f>E39*0.047</f>
        <v>0.94</v>
      </c>
      <c r="I39" s="119">
        <f>E39*0.27</f>
        <v>5.4</v>
      </c>
      <c r="J39" s="119">
        <f>E39*0.03%</f>
        <v>5.9999999999999993E-3</v>
      </c>
      <c r="K39" s="119">
        <f>E39*45%</f>
        <v>9</v>
      </c>
      <c r="L39" s="119">
        <v>0</v>
      </c>
      <c r="M39" s="119">
        <f>E39*48%</f>
        <v>9.6</v>
      </c>
      <c r="N39" s="119">
        <f>E39*31%</f>
        <v>6.2</v>
      </c>
      <c r="O39" s="119">
        <f>E39*16%</f>
        <v>3.2</v>
      </c>
      <c r="P39" s="119">
        <f>E39*0.6%</f>
        <v>0.12</v>
      </c>
      <c r="Q39" s="119">
        <v>30</v>
      </c>
      <c r="R39" s="119">
        <f>C39/1000*30</f>
        <v>0.75</v>
      </c>
    </row>
    <row r="40" spans="1:18" s="113" customFormat="1" ht="22.5" customHeight="1" x14ac:dyDescent="0.25">
      <c r="A40" s="85"/>
      <c r="B40" s="118" t="s">
        <v>17</v>
      </c>
      <c r="C40" s="119">
        <v>3</v>
      </c>
      <c r="D40" s="119">
        <v>0</v>
      </c>
      <c r="E40" s="119">
        <f>C40-D40</f>
        <v>3</v>
      </c>
      <c r="F40" s="119">
        <v>0</v>
      </c>
      <c r="G40" s="119">
        <f>E40*0.999</f>
        <v>2.9969999999999999</v>
      </c>
      <c r="H40" s="119">
        <v>0</v>
      </c>
      <c r="I40" s="119">
        <f>E40*8.99%</f>
        <v>0.26970000000000005</v>
      </c>
      <c r="J40" s="119">
        <f>E40*0.06%</f>
        <v>1.8E-3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150</v>
      </c>
      <c r="R40" s="119">
        <f>C40/1000*150</f>
        <v>0.45</v>
      </c>
    </row>
    <row r="41" spans="1:18" s="103" customFormat="1" ht="22.5" customHeight="1" x14ac:dyDescent="0.3">
      <c r="A41" s="104"/>
      <c r="B41" s="105" t="s">
        <v>69</v>
      </c>
      <c r="C41" s="106">
        <f>SUM(C37:C40)</f>
        <v>48</v>
      </c>
      <c r="D41" s="106">
        <f t="shared" ref="D41:P41" si="4">SUM(D37:D40)</f>
        <v>8</v>
      </c>
      <c r="E41" s="106">
        <f t="shared" si="4"/>
        <v>40</v>
      </c>
      <c r="F41" s="106">
        <f t="shared" si="4"/>
        <v>0.51600000000000001</v>
      </c>
      <c r="G41" s="106">
        <f t="shared" si="4"/>
        <v>8.0239999999999991</v>
      </c>
      <c r="H41" s="106">
        <f t="shared" si="4"/>
        <v>1.8039999999999998</v>
      </c>
      <c r="I41" s="106">
        <f t="shared" si="4"/>
        <v>54.219700000000003</v>
      </c>
      <c r="J41" s="106">
        <f t="shared" si="4"/>
        <v>1.7999999999999999E-2</v>
      </c>
      <c r="K41" s="106">
        <f t="shared" si="4"/>
        <v>9.6</v>
      </c>
      <c r="L41" s="106">
        <f t="shared" si="4"/>
        <v>0</v>
      </c>
      <c r="M41" s="106">
        <f t="shared" si="4"/>
        <v>15.719999999999999</v>
      </c>
      <c r="N41" s="106">
        <f t="shared" si="4"/>
        <v>12.8</v>
      </c>
      <c r="O41" s="106">
        <f t="shared" si="4"/>
        <v>7.7600000000000007</v>
      </c>
      <c r="P41" s="106">
        <f t="shared" si="4"/>
        <v>0.20399999999999999</v>
      </c>
      <c r="Q41" s="106"/>
      <c r="R41" s="106">
        <f t="shared" ref="R41" si="5">SUM(R37:R40)</f>
        <v>3</v>
      </c>
    </row>
    <row r="42" spans="1:18" s="99" customFormat="1" ht="21" x14ac:dyDescent="0.35">
      <c r="A42" s="102"/>
      <c r="B42" s="205" t="s">
        <v>125</v>
      </c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12"/>
    </row>
    <row r="43" spans="1:18" s="109" customFormat="1" ht="22.5" customHeight="1" x14ac:dyDescent="0.25">
      <c r="A43" s="107"/>
      <c r="B43" s="108" t="s">
        <v>129</v>
      </c>
      <c r="C43" s="73">
        <v>50</v>
      </c>
      <c r="D43" s="73">
        <f>C43*26.4%</f>
        <v>13.200000000000001</v>
      </c>
      <c r="E43" s="73">
        <f>SUM(C43-D43)</f>
        <v>36.799999999999997</v>
      </c>
      <c r="F43" s="73">
        <f>E43*18.6%</f>
        <v>6.8448000000000002</v>
      </c>
      <c r="G43" s="73">
        <f>E43*16%</f>
        <v>5.8879999999999999</v>
      </c>
      <c r="H43" s="73">
        <v>0</v>
      </c>
      <c r="I43" s="73">
        <f>E43*218%</f>
        <v>80.224000000000004</v>
      </c>
      <c r="J43" s="73">
        <f>E43*0.06%</f>
        <v>2.2079999999999995E-2</v>
      </c>
      <c r="K43" s="73">
        <v>0</v>
      </c>
      <c r="L43" s="73">
        <v>0</v>
      </c>
      <c r="M43" s="73">
        <f>E43*9%</f>
        <v>3.3119999999999998</v>
      </c>
      <c r="N43" s="73">
        <f>E43*188%</f>
        <v>69.183999999999997</v>
      </c>
      <c r="O43" s="73">
        <f>E43*22%</f>
        <v>8.0960000000000001</v>
      </c>
      <c r="P43" s="73">
        <f>E43*2.7%</f>
        <v>0.99360000000000004</v>
      </c>
      <c r="Q43" s="73">
        <v>490</v>
      </c>
      <c r="R43" s="73">
        <f>C43/1000*490</f>
        <v>24.5</v>
      </c>
    </row>
    <row r="44" spans="1:18" s="113" customFormat="1" ht="22.5" customHeight="1" x14ac:dyDescent="0.25">
      <c r="A44" s="110"/>
      <c r="B44" s="111" t="s">
        <v>72</v>
      </c>
      <c r="C44" s="112">
        <v>35</v>
      </c>
      <c r="D44" s="112">
        <f>C44*0.25</f>
        <v>8.75</v>
      </c>
      <c r="E44" s="112">
        <f>C44-D44</f>
        <v>26.25</v>
      </c>
      <c r="F44" s="112">
        <f>E44*2%</f>
        <v>0.52500000000000002</v>
      </c>
      <c r="G44" s="112">
        <f>E44*0.4%</f>
        <v>0.105</v>
      </c>
      <c r="H44" s="112">
        <f>E44*16.3%</f>
        <v>4.2787500000000005</v>
      </c>
      <c r="I44" s="112">
        <f>E44*80%</f>
        <v>21</v>
      </c>
      <c r="J44" s="112">
        <f>E44*0.12%</f>
        <v>3.15E-2</v>
      </c>
      <c r="K44" s="112">
        <f>E44*20%</f>
        <v>5.25</v>
      </c>
      <c r="L44" s="112">
        <v>0</v>
      </c>
      <c r="M44" s="112">
        <f>E44*10%</f>
        <v>2.625</v>
      </c>
      <c r="N44" s="112">
        <f>E44*58%</f>
        <v>15.225</v>
      </c>
      <c r="O44" s="112">
        <f>E44*23%</f>
        <v>6.0375000000000005</v>
      </c>
      <c r="P44" s="112">
        <f>E44*0.9%</f>
        <v>0.23625000000000002</v>
      </c>
      <c r="Q44" s="112">
        <v>57</v>
      </c>
      <c r="R44" s="112">
        <f>C44/1000*57</f>
        <v>1.9950000000000001</v>
      </c>
    </row>
    <row r="45" spans="1:18" s="113" customFormat="1" ht="18.75" x14ac:dyDescent="0.25">
      <c r="A45" s="110"/>
      <c r="B45" s="111" t="s">
        <v>15</v>
      </c>
      <c r="C45" s="112">
        <v>15</v>
      </c>
      <c r="D45" s="112">
        <f>C45*0.2</f>
        <v>3</v>
      </c>
      <c r="E45" s="112">
        <f>C45-D45</f>
        <v>12</v>
      </c>
      <c r="F45" s="112">
        <f>E45*1.3%</f>
        <v>0.15600000000000003</v>
      </c>
      <c r="G45" s="114">
        <f>E45*0.001</f>
        <v>1.2E-2</v>
      </c>
      <c r="H45" s="112">
        <f>E45*0.072</f>
        <v>0.86399999999999988</v>
      </c>
      <c r="I45" s="112">
        <f>E45*0.3</f>
        <v>3.5999999999999996</v>
      </c>
      <c r="J45" s="112">
        <f>E45*0.06%</f>
        <v>7.1999999999999998E-3</v>
      </c>
      <c r="K45" s="112">
        <f>E45*5%</f>
        <v>0.60000000000000009</v>
      </c>
      <c r="L45" s="112">
        <v>0</v>
      </c>
      <c r="M45" s="112">
        <f>E45*51%</f>
        <v>6.12</v>
      </c>
      <c r="N45" s="112">
        <f>E45*55%</f>
        <v>6.6000000000000005</v>
      </c>
      <c r="O45" s="112">
        <f>E45*38%</f>
        <v>4.5600000000000005</v>
      </c>
      <c r="P45" s="112">
        <f>E45*0.7%</f>
        <v>8.3999999999999991E-2</v>
      </c>
      <c r="Q45" s="112">
        <v>60</v>
      </c>
      <c r="R45" s="111">
        <f>C45/1000*60</f>
        <v>0.89999999999999991</v>
      </c>
    </row>
    <row r="46" spans="1:18" s="113" customFormat="1" ht="18.75" x14ac:dyDescent="0.25">
      <c r="A46" s="110"/>
      <c r="B46" s="111" t="s">
        <v>73</v>
      </c>
      <c r="C46" s="112">
        <v>15</v>
      </c>
      <c r="D46" s="112">
        <f>C46*0.16</f>
        <v>2.4</v>
      </c>
      <c r="E46" s="112">
        <f>C46-D46</f>
        <v>12.6</v>
      </c>
      <c r="F46" s="112">
        <f>E46*1.4%</f>
        <v>0.17639999999999997</v>
      </c>
      <c r="G46" s="113">
        <v>0</v>
      </c>
      <c r="H46" s="112">
        <f>E46*9.1%</f>
        <v>1.1465999999999998</v>
      </c>
      <c r="I46" s="112">
        <f>E46*41%</f>
        <v>5.1659999999999995</v>
      </c>
      <c r="J46" s="112">
        <f>E46*0.05%</f>
        <v>6.3E-3</v>
      </c>
      <c r="K46" s="112">
        <f>E46*10%</f>
        <v>1.26</v>
      </c>
      <c r="L46" s="112">
        <v>0</v>
      </c>
      <c r="M46" s="112">
        <f>E46*31%</f>
        <v>3.9059999999999997</v>
      </c>
      <c r="N46" s="112">
        <f>E46*58%</f>
        <v>7.3079999999999989</v>
      </c>
      <c r="O46" s="112">
        <f>E46*14%</f>
        <v>1.764</v>
      </c>
      <c r="P46" s="112">
        <f>E46*0.8%</f>
        <v>0.1008</v>
      </c>
      <c r="Q46" s="112">
        <v>40</v>
      </c>
      <c r="R46" s="112">
        <f>C46/1000*40</f>
        <v>0.6</v>
      </c>
    </row>
    <row r="47" spans="1:18" s="113" customFormat="1" ht="18.75" x14ac:dyDescent="0.25">
      <c r="A47" s="107"/>
      <c r="B47" s="111" t="s">
        <v>22</v>
      </c>
      <c r="C47" s="112">
        <v>9</v>
      </c>
      <c r="D47" s="112">
        <v>0</v>
      </c>
      <c r="E47" s="112">
        <f>C47-D47</f>
        <v>9</v>
      </c>
      <c r="F47" s="112">
        <f>E47*0.5%</f>
        <v>4.4999999999999998E-2</v>
      </c>
      <c r="G47" s="112">
        <f>E47*82.5%</f>
        <v>7.4249999999999998</v>
      </c>
      <c r="H47" s="112">
        <f>E47*0.8%</f>
        <v>7.2000000000000008E-2</v>
      </c>
      <c r="I47" s="112">
        <f>E47*748%</f>
        <v>67.320000000000007</v>
      </c>
      <c r="J47" s="112">
        <v>0</v>
      </c>
      <c r="K47" s="112">
        <v>0</v>
      </c>
      <c r="L47" s="112">
        <f>E47*0.59%</f>
        <v>5.3100000000000001E-2</v>
      </c>
      <c r="M47" s="112">
        <f>E47*12%</f>
        <v>1.08</v>
      </c>
      <c r="N47" s="112">
        <f>E47*19%</f>
        <v>1.71</v>
      </c>
      <c r="O47" s="112">
        <f>E47*0.4%</f>
        <v>3.6000000000000004E-2</v>
      </c>
      <c r="P47" s="112">
        <f>E47*0.2%</f>
        <v>1.8000000000000002E-2</v>
      </c>
      <c r="Q47" s="112">
        <v>480</v>
      </c>
      <c r="R47" s="115">
        <f>C47/1000*480</f>
        <v>4.3199999999999994</v>
      </c>
    </row>
    <row r="48" spans="1:18" s="113" customFormat="1" x14ac:dyDescent="0.25">
      <c r="A48" s="116"/>
      <c r="B48" s="112" t="s">
        <v>26</v>
      </c>
      <c r="C48" s="112">
        <v>3</v>
      </c>
      <c r="D48" s="112">
        <v>0</v>
      </c>
      <c r="E48" s="112">
        <f>SUM(C48:D48)</f>
        <v>3</v>
      </c>
      <c r="F48" s="112">
        <f>E48*1%</f>
        <v>0.03</v>
      </c>
      <c r="G48" s="112">
        <v>0</v>
      </c>
      <c r="H48" s="112">
        <f>E48*3.5%</f>
        <v>0.10500000000000001</v>
      </c>
      <c r="I48" s="112">
        <f>E48*19%</f>
        <v>0.57000000000000006</v>
      </c>
      <c r="J48" s="112">
        <f>E48*0.03%</f>
        <v>8.9999999999999998E-4</v>
      </c>
      <c r="K48" s="112">
        <f>E48*10%</f>
        <v>0.30000000000000004</v>
      </c>
      <c r="L48" s="112">
        <v>0</v>
      </c>
      <c r="M48" s="112">
        <f>C48*7%</f>
        <v>0.21000000000000002</v>
      </c>
      <c r="N48" s="112">
        <f>E48*32%</f>
        <v>0.96</v>
      </c>
      <c r="O48" s="112">
        <f>E48*12%</f>
        <v>0.36</v>
      </c>
      <c r="P48" s="112">
        <f>E48*0.7%</f>
        <v>2.0999999999999998E-2</v>
      </c>
      <c r="Q48" s="112">
        <v>150</v>
      </c>
      <c r="R48" s="112">
        <f>C48/1000*150</f>
        <v>0.45</v>
      </c>
    </row>
    <row r="49" spans="1:18" s="113" customFormat="1" ht="18.75" x14ac:dyDescent="0.25">
      <c r="A49" s="110"/>
      <c r="B49" s="111" t="s">
        <v>78</v>
      </c>
      <c r="C49" s="112">
        <v>30</v>
      </c>
      <c r="D49" s="112">
        <v>0</v>
      </c>
      <c r="E49" s="112">
        <f>C49-D49</f>
        <v>30</v>
      </c>
      <c r="F49" s="112">
        <f>E49*23%</f>
        <v>6.9</v>
      </c>
      <c r="G49" s="112">
        <f>E49*1.6%</f>
        <v>0.48</v>
      </c>
      <c r="H49" s="112">
        <f>E49*50.8%</f>
        <v>15.24</v>
      </c>
      <c r="I49" s="112">
        <f>E49*314%</f>
        <v>94.2</v>
      </c>
      <c r="J49" s="112">
        <f>E49*0.9%</f>
        <v>0.27</v>
      </c>
      <c r="K49" s="112">
        <v>0</v>
      </c>
      <c r="L49" s="112">
        <v>0</v>
      </c>
      <c r="M49" s="112">
        <f>E49*89%</f>
        <v>26.7</v>
      </c>
      <c r="N49" s="112">
        <f>E49*226%</f>
        <v>67.8</v>
      </c>
      <c r="O49" s="112">
        <f>E49*88%</f>
        <v>26.4</v>
      </c>
      <c r="P49" s="112">
        <f>E49*7%</f>
        <v>2.1</v>
      </c>
      <c r="Q49" s="112">
        <v>60</v>
      </c>
      <c r="R49" s="115">
        <f>C49/1000*60</f>
        <v>1.7999999999999998</v>
      </c>
    </row>
    <row r="50" spans="1:18" s="86" customFormat="1" ht="18.75" x14ac:dyDescent="0.25">
      <c r="A50" s="87"/>
      <c r="B50" s="88" t="s">
        <v>69</v>
      </c>
      <c r="C50" s="89">
        <f>C49+C47+C46+C45+C44</f>
        <v>104</v>
      </c>
      <c r="D50" s="89">
        <f t="shared" ref="D50:P50" si="6">SUM(D44:D49)</f>
        <v>14.15</v>
      </c>
      <c r="E50" s="89">
        <v>250</v>
      </c>
      <c r="F50" s="89">
        <f t="shared" si="6"/>
        <v>7.8324000000000007</v>
      </c>
      <c r="G50" s="89">
        <f t="shared" si="6"/>
        <v>8.0220000000000002</v>
      </c>
      <c r="H50" s="89">
        <f t="shared" si="6"/>
        <v>21.70635</v>
      </c>
      <c r="I50" s="89">
        <f t="shared" si="6"/>
        <v>191.85599999999999</v>
      </c>
      <c r="J50" s="89">
        <f t="shared" si="6"/>
        <v>0.31590000000000001</v>
      </c>
      <c r="K50" s="89">
        <f t="shared" si="6"/>
        <v>7.4099999999999993</v>
      </c>
      <c r="L50" s="89">
        <f t="shared" si="6"/>
        <v>5.3100000000000001E-2</v>
      </c>
      <c r="M50" s="89">
        <f t="shared" si="6"/>
        <v>40.640999999999998</v>
      </c>
      <c r="N50" s="89">
        <f t="shared" si="6"/>
        <v>99.602999999999994</v>
      </c>
      <c r="O50" s="89">
        <f t="shared" si="6"/>
        <v>39.157499999999999</v>
      </c>
      <c r="P50" s="89">
        <f t="shared" si="6"/>
        <v>2.5600500000000004</v>
      </c>
      <c r="Q50" s="89"/>
      <c r="R50" s="89">
        <f>SUM(R43:R49)</f>
        <v>34.564999999999998</v>
      </c>
    </row>
    <row r="51" spans="1:18" s="100" customFormat="1" ht="21" x14ac:dyDescent="0.35">
      <c r="A51" s="36"/>
      <c r="B51" s="154" t="s">
        <v>109</v>
      </c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6"/>
    </row>
    <row r="52" spans="1:18" s="100" customFormat="1" ht="18.75" x14ac:dyDescent="0.3">
      <c r="A52" s="36"/>
      <c r="B52" s="33" t="s">
        <v>69</v>
      </c>
      <c r="C52" s="7">
        <v>50</v>
      </c>
      <c r="D52" s="7">
        <v>0</v>
      </c>
      <c r="E52" s="7">
        <f>C52-D52</f>
        <v>50</v>
      </c>
      <c r="F52" s="7">
        <f>E52*7.9%</f>
        <v>3.95</v>
      </c>
      <c r="G52" s="7">
        <f>E52*1%</f>
        <v>0.5</v>
      </c>
      <c r="H52" s="7">
        <f>E52*48.1%</f>
        <v>24.05</v>
      </c>
      <c r="I52" s="7">
        <f>E52*239%</f>
        <v>119.5</v>
      </c>
      <c r="J52" s="7">
        <f>E52*0.16%</f>
        <v>0.08</v>
      </c>
      <c r="K52" s="7">
        <v>0</v>
      </c>
      <c r="L52" s="7">
        <v>0</v>
      </c>
      <c r="M52" s="7">
        <f>E52*23%</f>
        <v>11.5</v>
      </c>
      <c r="N52" s="7">
        <f>E52*87%</f>
        <v>43.5</v>
      </c>
      <c r="O52" s="7">
        <f>E52*33%</f>
        <v>16.5</v>
      </c>
      <c r="P52" s="7">
        <f>E52*2%</f>
        <v>1</v>
      </c>
      <c r="Q52" s="7">
        <v>50</v>
      </c>
      <c r="R52" s="98">
        <f>C52/1000*50</f>
        <v>2.5</v>
      </c>
    </row>
    <row r="53" spans="1:18" s="99" customFormat="1" ht="21" x14ac:dyDescent="0.35">
      <c r="A53" s="102"/>
      <c r="B53" s="157" t="s">
        <v>115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9"/>
    </row>
    <row r="54" spans="1:18" s="100" customFormat="1" ht="18.75" x14ac:dyDescent="0.3">
      <c r="A54" s="36"/>
      <c r="B54" s="101" t="s">
        <v>67</v>
      </c>
      <c r="C54" s="101">
        <v>15</v>
      </c>
      <c r="D54" s="101">
        <v>0</v>
      </c>
      <c r="E54" s="101">
        <v>15</v>
      </c>
      <c r="F54" s="101">
        <f>E54*5.2%</f>
        <v>0.78</v>
      </c>
      <c r="G54" s="101">
        <v>0</v>
      </c>
      <c r="H54" s="101">
        <f>E54*55%</f>
        <v>8.25</v>
      </c>
      <c r="I54" s="101">
        <f>E54*234%</f>
        <v>35.099999999999994</v>
      </c>
      <c r="J54" s="101">
        <f>E54*0.1%</f>
        <v>1.4999999999999999E-2</v>
      </c>
      <c r="K54" s="101">
        <f>E54*4%</f>
        <v>0.6</v>
      </c>
      <c r="L54" s="101">
        <v>0</v>
      </c>
      <c r="M54" s="101">
        <f>E54*160%</f>
        <v>24</v>
      </c>
      <c r="N54" s="101">
        <f>E54*146%</f>
        <v>21.9</v>
      </c>
      <c r="O54" s="101">
        <f>E54*105%</f>
        <v>15.75</v>
      </c>
      <c r="P54" s="101">
        <f>E54*3.2%</f>
        <v>0.48</v>
      </c>
      <c r="Q54" s="101">
        <v>350</v>
      </c>
      <c r="R54" s="101">
        <f>C54/1000*350</f>
        <v>5.25</v>
      </c>
    </row>
    <row r="55" spans="1:18" s="100" customFormat="1" ht="18.75" x14ac:dyDescent="0.3">
      <c r="A55" s="36"/>
      <c r="B55" s="101" t="s">
        <v>68</v>
      </c>
      <c r="C55" s="101">
        <v>10</v>
      </c>
      <c r="D55" s="101">
        <v>0</v>
      </c>
      <c r="E55" s="101">
        <v>10</v>
      </c>
      <c r="F55" s="101">
        <v>0</v>
      </c>
      <c r="G55" s="101">
        <v>0</v>
      </c>
      <c r="H55" s="101">
        <f>E55*99.8%</f>
        <v>9.98</v>
      </c>
      <c r="I55" s="101">
        <f>E55*379%</f>
        <v>37.9</v>
      </c>
      <c r="J55" s="101">
        <v>0</v>
      </c>
      <c r="K55" s="101">
        <v>0</v>
      </c>
      <c r="L55" s="101">
        <v>0</v>
      </c>
      <c r="M55" s="101">
        <f>E55*2%</f>
        <v>0.2</v>
      </c>
      <c r="N55" s="101">
        <v>0</v>
      </c>
      <c r="O55" s="101">
        <v>0</v>
      </c>
      <c r="P55" s="101">
        <f>E55*0.3%</f>
        <v>0.03</v>
      </c>
      <c r="Q55" s="101">
        <v>60</v>
      </c>
      <c r="R55" s="31">
        <f>C55/1000*60</f>
        <v>0.6</v>
      </c>
    </row>
    <row r="56" spans="1:18" s="100" customFormat="1" ht="18.75" x14ac:dyDescent="0.3">
      <c r="A56" s="36"/>
      <c r="B56" s="33" t="s">
        <v>69</v>
      </c>
      <c r="C56" s="7">
        <f>SUM(C54:C55)</f>
        <v>25</v>
      </c>
      <c r="D56" s="7">
        <f t="shared" ref="D56:P56" si="7">SUM(D54:D55)</f>
        <v>0</v>
      </c>
      <c r="E56" s="7">
        <v>150</v>
      </c>
      <c r="F56" s="7">
        <f t="shared" si="7"/>
        <v>0.78</v>
      </c>
      <c r="G56" s="7">
        <f t="shared" si="7"/>
        <v>0</v>
      </c>
      <c r="H56" s="7">
        <f t="shared" si="7"/>
        <v>18.23</v>
      </c>
      <c r="I56" s="7">
        <f t="shared" si="7"/>
        <v>73</v>
      </c>
      <c r="J56" s="7">
        <f t="shared" si="7"/>
        <v>1.4999999999999999E-2</v>
      </c>
      <c r="K56" s="7">
        <f t="shared" si="7"/>
        <v>0.6</v>
      </c>
      <c r="L56" s="7">
        <f t="shared" si="7"/>
        <v>0</v>
      </c>
      <c r="M56" s="7">
        <f t="shared" si="7"/>
        <v>24.2</v>
      </c>
      <c r="N56" s="7">
        <f t="shared" si="7"/>
        <v>21.9</v>
      </c>
      <c r="O56" s="7">
        <f t="shared" si="7"/>
        <v>15.75</v>
      </c>
      <c r="P56" s="7">
        <f t="shared" si="7"/>
        <v>0.51</v>
      </c>
      <c r="Q56" s="7"/>
      <c r="R56" s="98">
        <f>SUM(R54:R55)</f>
        <v>5.85</v>
      </c>
    </row>
    <row r="57" spans="1:18" s="99" customFormat="1" ht="21" customHeight="1" x14ac:dyDescent="0.35">
      <c r="A57" s="102"/>
      <c r="B57" s="157" t="s">
        <v>126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1"/>
    </row>
    <row r="58" spans="1:18" s="100" customFormat="1" ht="27" customHeight="1" x14ac:dyDescent="0.3">
      <c r="A58" s="36"/>
      <c r="B58" s="33" t="s">
        <v>69</v>
      </c>
      <c r="C58" s="7">
        <v>100</v>
      </c>
      <c r="D58" s="7">
        <v>0</v>
      </c>
      <c r="E58" s="7">
        <f>C58-D58</f>
        <v>100</v>
      </c>
      <c r="F58" s="7">
        <f>E58*1.5%</f>
        <v>1.5</v>
      </c>
      <c r="G58" s="7">
        <f>E58*0.5%</f>
        <v>0.5</v>
      </c>
      <c r="H58" s="7">
        <f>E58*21%</f>
        <v>21</v>
      </c>
      <c r="I58" s="7">
        <f>E58*96%</f>
        <v>96</v>
      </c>
      <c r="J58" s="7">
        <v>0</v>
      </c>
      <c r="K58" s="7">
        <v>8.6999999999999993</v>
      </c>
      <c r="L58" s="7">
        <v>3</v>
      </c>
      <c r="M58" s="7">
        <v>5</v>
      </c>
      <c r="N58" s="7">
        <v>22</v>
      </c>
      <c r="O58" s="7">
        <v>27</v>
      </c>
      <c r="P58" s="7">
        <v>0.3</v>
      </c>
      <c r="Q58" s="7">
        <v>150</v>
      </c>
      <c r="R58" s="7">
        <f>C58/1000*150</f>
        <v>15</v>
      </c>
    </row>
    <row r="59" spans="1:18" s="100" customFormat="1" ht="19.5" customHeight="1" x14ac:dyDescent="0.35">
      <c r="A59" s="36"/>
      <c r="B59" s="162" t="s">
        <v>111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4"/>
    </row>
    <row r="60" spans="1:18" s="100" customFormat="1" ht="27.75" customHeight="1" x14ac:dyDescent="0.3">
      <c r="A60" s="36"/>
      <c r="B60" s="33" t="s">
        <v>69</v>
      </c>
      <c r="C60" s="7">
        <v>3</v>
      </c>
      <c r="D60" s="7">
        <v>0</v>
      </c>
      <c r="E60" s="7">
        <f>C60-D60</f>
        <v>3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20</v>
      </c>
      <c r="R60" s="7">
        <f>C60/1000*20</f>
        <v>0.06</v>
      </c>
    </row>
    <row r="61" spans="1:18" s="100" customFormat="1" ht="27" customHeight="1" x14ac:dyDescent="0.35">
      <c r="A61" s="36"/>
      <c r="B61" s="25" t="s">
        <v>69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43"/>
      <c r="R61" s="30">
        <f>R60+R58+R56+R52+R50+R41</f>
        <v>60.974999999999994</v>
      </c>
    </row>
    <row r="62" spans="1:18" ht="33" customHeight="1" x14ac:dyDescent="0.3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30"/>
    </row>
    <row r="63" spans="1:18" ht="33" customHeight="1" x14ac:dyDescent="0.3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30"/>
    </row>
    <row r="64" spans="1:18" ht="18.75" x14ac:dyDescent="0.3">
      <c r="A64" s="40"/>
      <c r="B64" s="139" t="s">
        <v>0</v>
      </c>
      <c r="C64" s="146" t="s">
        <v>18</v>
      </c>
      <c r="D64" s="143" t="s">
        <v>20</v>
      </c>
      <c r="E64" s="143" t="s">
        <v>19</v>
      </c>
      <c r="F64" s="125" t="s">
        <v>1</v>
      </c>
      <c r="G64" s="125" t="s">
        <v>2</v>
      </c>
      <c r="H64" s="125" t="s">
        <v>3</v>
      </c>
      <c r="I64" s="125" t="s">
        <v>4</v>
      </c>
      <c r="J64" s="140" t="s">
        <v>5</v>
      </c>
      <c r="K64" s="140"/>
      <c r="L64" s="140"/>
      <c r="M64" s="140" t="s">
        <v>6</v>
      </c>
      <c r="N64" s="140"/>
      <c r="O64" s="140"/>
      <c r="P64" s="140"/>
      <c r="Q64" s="136" t="s">
        <v>66</v>
      </c>
      <c r="R64" s="193" t="s">
        <v>121</v>
      </c>
    </row>
    <row r="65" spans="1:18" ht="18.75" x14ac:dyDescent="0.3">
      <c r="A65" s="40"/>
      <c r="B65" s="139"/>
      <c r="C65" s="147"/>
      <c r="D65" s="144"/>
      <c r="E65" s="144"/>
      <c r="F65" s="126"/>
      <c r="G65" s="126"/>
      <c r="H65" s="126"/>
      <c r="I65" s="126"/>
      <c r="J65" s="125" t="s">
        <v>7</v>
      </c>
      <c r="K65" s="141" t="s">
        <v>8</v>
      </c>
      <c r="L65" s="125" t="s">
        <v>9</v>
      </c>
      <c r="M65" s="125" t="s">
        <v>10</v>
      </c>
      <c r="N65" s="125" t="s">
        <v>11</v>
      </c>
      <c r="O65" s="125" t="s">
        <v>12</v>
      </c>
      <c r="P65" s="125" t="s">
        <v>13</v>
      </c>
      <c r="Q65" s="137"/>
      <c r="R65" s="194"/>
    </row>
    <row r="66" spans="1:18" ht="20.25" x14ac:dyDescent="0.3">
      <c r="A66" s="40"/>
      <c r="B66" s="2" t="s">
        <v>76</v>
      </c>
      <c r="C66" s="148"/>
      <c r="D66" s="145"/>
      <c r="E66" s="145"/>
      <c r="F66" s="127"/>
      <c r="G66" s="127"/>
      <c r="H66" s="127"/>
      <c r="I66" s="127"/>
      <c r="J66" s="127"/>
      <c r="K66" s="142"/>
      <c r="L66" s="127"/>
      <c r="M66" s="127"/>
      <c r="N66" s="127"/>
      <c r="O66" s="127"/>
      <c r="P66" s="127"/>
      <c r="Q66" s="138"/>
      <c r="R66" s="195"/>
    </row>
    <row r="67" spans="1:18" s="94" customFormat="1" ht="21" x14ac:dyDescent="0.35">
      <c r="A67" s="209" t="s">
        <v>108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1"/>
    </row>
    <row r="68" spans="1:18" ht="18.75" x14ac:dyDescent="0.3">
      <c r="A68" s="40"/>
      <c r="B68" s="3" t="s">
        <v>72</v>
      </c>
      <c r="C68" s="4">
        <v>154</v>
      </c>
      <c r="D68" s="4">
        <f>C68*0.25</f>
        <v>38.5</v>
      </c>
      <c r="E68" s="4">
        <f>C68-D68</f>
        <v>115.5</v>
      </c>
      <c r="F68" s="4">
        <f>E68*2%</f>
        <v>2.31</v>
      </c>
      <c r="G68" s="4">
        <f>E68*0.4%</f>
        <v>0.46200000000000002</v>
      </c>
      <c r="H68" s="4">
        <f>E68*16.3%</f>
        <v>18.826499999999999</v>
      </c>
      <c r="I68" s="4">
        <f>E68*80%</f>
        <v>92.4</v>
      </c>
      <c r="J68" s="4">
        <f>E68*0.12%</f>
        <v>0.1386</v>
      </c>
      <c r="K68" s="4">
        <f>E68*20%</f>
        <v>23.1</v>
      </c>
      <c r="L68" s="4">
        <v>0</v>
      </c>
      <c r="M68" s="4">
        <f>E68*10%</f>
        <v>11.55</v>
      </c>
      <c r="N68" s="4">
        <f>E68*58%</f>
        <v>66.989999999999995</v>
      </c>
      <c r="O68" s="4">
        <f>E68*23%</f>
        <v>26.565000000000001</v>
      </c>
      <c r="P68" s="4">
        <f>E68*0.9%</f>
        <v>1.0395000000000001</v>
      </c>
      <c r="Q68" s="4">
        <v>57</v>
      </c>
      <c r="R68" s="4">
        <f>C68/1000*57</f>
        <v>8.7780000000000005</v>
      </c>
    </row>
    <row r="69" spans="1:18" ht="18.75" x14ac:dyDescent="0.3">
      <c r="A69" s="40"/>
      <c r="B69" s="3" t="s">
        <v>22</v>
      </c>
      <c r="C69" s="4">
        <v>10</v>
      </c>
      <c r="D69" s="4">
        <v>0</v>
      </c>
      <c r="E69" s="4">
        <f>C69-D69</f>
        <v>10</v>
      </c>
      <c r="F69" s="4">
        <f>E69*0.5%</f>
        <v>0.05</v>
      </c>
      <c r="G69" s="4">
        <f>E69*82.5%</f>
        <v>8.25</v>
      </c>
      <c r="H69" s="4">
        <f>E69*0.8%</f>
        <v>0.08</v>
      </c>
      <c r="I69" s="4">
        <f>E69*748%</f>
        <v>74.800000000000011</v>
      </c>
      <c r="J69" s="4">
        <v>0</v>
      </c>
      <c r="K69" s="4">
        <v>0</v>
      </c>
      <c r="L69" s="4">
        <f>E69*0.59%</f>
        <v>5.8999999999999997E-2</v>
      </c>
      <c r="M69" s="4">
        <f>E69*12%</f>
        <v>1.2</v>
      </c>
      <c r="N69" s="4">
        <f>E69*19%</f>
        <v>1.9</v>
      </c>
      <c r="O69" s="4">
        <f>E69*0.4%</f>
        <v>0.04</v>
      </c>
      <c r="P69" s="4">
        <f>E69*0.2%</f>
        <v>0.02</v>
      </c>
      <c r="Q69" s="4">
        <v>480</v>
      </c>
      <c r="R69" s="24">
        <f>C69/1000*480</f>
        <v>4.8</v>
      </c>
    </row>
    <row r="70" spans="1:18" ht="18.75" x14ac:dyDescent="0.3">
      <c r="A70" s="40"/>
      <c r="B70" s="32" t="s">
        <v>69</v>
      </c>
      <c r="C70" s="7">
        <f t="shared" ref="C70:P70" si="8">SUM(C68:C69)</f>
        <v>164</v>
      </c>
      <c r="D70" s="7">
        <f t="shared" si="8"/>
        <v>38.5</v>
      </c>
      <c r="E70" s="7">
        <f t="shared" si="8"/>
        <v>125.5</v>
      </c>
      <c r="F70" s="7">
        <f t="shared" si="8"/>
        <v>2.36</v>
      </c>
      <c r="G70" s="7">
        <f t="shared" si="8"/>
        <v>8.7119999999999997</v>
      </c>
      <c r="H70" s="7">
        <f t="shared" si="8"/>
        <v>18.906499999999998</v>
      </c>
      <c r="I70" s="7">
        <f t="shared" si="8"/>
        <v>167.20000000000002</v>
      </c>
      <c r="J70" s="7">
        <f t="shared" si="8"/>
        <v>0.1386</v>
      </c>
      <c r="K70" s="7">
        <f t="shared" si="8"/>
        <v>23.1</v>
      </c>
      <c r="L70" s="7">
        <f t="shared" si="8"/>
        <v>5.8999999999999997E-2</v>
      </c>
      <c r="M70" s="7">
        <f t="shared" si="8"/>
        <v>12.75</v>
      </c>
      <c r="N70" s="7">
        <f t="shared" si="8"/>
        <v>68.89</v>
      </c>
      <c r="O70" s="7">
        <f t="shared" si="8"/>
        <v>26.605</v>
      </c>
      <c r="P70" s="7">
        <f t="shared" si="8"/>
        <v>1.0595000000000001</v>
      </c>
      <c r="Q70" s="7"/>
      <c r="R70" s="7">
        <f t="shared" ref="R70" si="9">SUM(R68:R69)</f>
        <v>13.577999999999999</v>
      </c>
    </row>
    <row r="71" spans="1:18" ht="21" x14ac:dyDescent="0.35">
      <c r="A71" s="40"/>
      <c r="B71" s="205" t="s">
        <v>113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2"/>
    </row>
    <row r="72" spans="1:18" ht="18.75" x14ac:dyDescent="0.3">
      <c r="A72" s="40"/>
      <c r="B72" s="3" t="s">
        <v>74</v>
      </c>
      <c r="C72" s="4">
        <v>90</v>
      </c>
      <c r="D72" s="4">
        <f>C72*25%</f>
        <v>22.5</v>
      </c>
      <c r="E72" s="4">
        <f>C72-D72</f>
        <v>67.5</v>
      </c>
      <c r="F72" s="4">
        <f>E72*18.2%</f>
        <v>12.285</v>
      </c>
      <c r="G72" s="4">
        <f>E72*18.4%</f>
        <v>12.42</v>
      </c>
      <c r="H72" s="4">
        <f>E72*0.7%</f>
        <v>0.47249999999999998</v>
      </c>
      <c r="I72" s="4">
        <f>E72*241%</f>
        <v>162.67500000000001</v>
      </c>
      <c r="J72" s="4">
        <f>E72*0.07%</f>
        <v>4.7250000000000007E-2</v>
      </c>
      <c r="K72" s="4">
        <v>0</v>
      </c>
      <c r="L72" s="4">
        <f>E72*0.07%</f>
        <v>4.7250000000000007E-2</v>
      </c>
      <c r="M72" s="4">
        <f>E72*16%</f>
        <v>10.8</v>
      </c>
      <c r="N72" s="4">
        <f>E72*165%</f>
        <v>111.375</v>
      </c>
      <c r="O72" s="4">
        <f>E72*18%</f>
        <v>12.15</v>
      </c>
      <c r="P72" s="4">
        <f>E72*1.6%</f>
        <v>1.08</v>
      </c>
      <c r="Q72" s="4">
        <v>270</v>
      </c>
      <c r="R72" s="4">
        <f>C72/1000*270</f>
        <v>24.3</v>
      </c>
    </row>
    <row r="73" spans="1:18" ht="18.75" x14ac:dyDescent="0.3">
      <c r="A73" s="40"/>
      <c r="B73" s="33" t="s">
        <v>69</v>
      </c>
      <c r="C73" s="7">
        <f>SUM(C72:C72)</f>
        <v>90</v>
      </c>
      <c r="D73" s="7">
        <f>SUM(D72:D72)</f>
        <v>22.5</v>
      </c>
      <c r="E73" s="7">
        <f>C73-D73</f>
        <v>67.5</v>
      </c>
      <c r="F73" s="7">
        <f t="shared" ref="F73:R73" si="10">SUM(F72:F72)</f>
        <v>12.285</v>
      </c>
      <c r="G73" s="7">
        <f t="shared" si="10"/>
        <v>12.42</v>
      </c>
      <c r="H73" s="7">
        <f t="shared" si="10"/>
        <v>0.47249999999999998</v>
      </c>
      <c r="I73" s="7">
        <f t="shared" si="10"/>
        <v>162.67500000000001</v>
      </c>
      <c r="J73" s="7">
        <f t="shared" si="10"/>
        <v>4.7250000000000007E-2</v>
      </c>
      <c r="K73" s="7">
        <f t="shared" si="10"/>
        <v>0</v>
      </c>
      <c r="L73" s="7">
        <f t="shared" si="10"/>
        <v>4.7250000000000007E-2</v>
      </c>
      <c r="M73" s="7">
        <f t="shared" si="10"/>
        <v>10.8</v>
      </c>
      <c r="N73" s="7">
        <f t="shared" si="10"/>
        <v>111.375</v>
      </c>
      <c r="O73" s="7">
        <f t="shared" si="10"/>
        <v>12.15</v>
      </c>
      <c r="P73" s="7">
        <f t="shared" si="10"/>
        <v>1.08</v>
      </c>
      <c r="Q73" s="7"/>
      <c r="R73" s="7">
        <f t="shared" si="10"/>
        <v>24.3</v>
      </c>
    </row>
    <row r="74" spans="1:18" ht="21" x14ac:dyDescent="0.35">
      <c r="A74" s="40"/>
      <c r="B74" s="157" t="s">
        <v>109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5"/>
    </row>
    <row r="75" spans="1:18" ht="18.75" x14ac:dyDescent="0.3">
      <c r="A75" s="40"/>
      <c r="B75" s="33" t="s">
        <v>69</v>
      </c>
      <c r="C75" s="7">
        <v>30</v>
      </c>
      <c r="D75" s="7">
        <v>0</v>
      </c>
      <c r="E75" s="7">
        <v>30</v>
      </c>
      <c r="F75" s="7">
        <f>E75*7.9%</f>
        <v>2.37</v>
      </c>
      <c r="G75" s="7">
        <f>E75*1%</f>
        <v>0.3</v>
      </c>
      <c r="H75" s="7">
        <f>E75*48.1%</f>
        <v>14.430000000000001</v>
      </c>
      <c r="I75" s="7">
        <f>E75*239%</f>
        <v>71.7</v>
      </c>
      <c r="J75" s="7">
        <f>E75*0.16%</f>
        <v>4.8000000000000001E-2</v>
      </c>
      <c r="K75" s="7">
        <v>0</v>
      </c>
      <c r="L75" s="7">
        <v>0</v>
      </c>
      <c r="M75" s="7">
        <f>E75*23%</f>
        <v>6.9</v>
      </c>
      <c r="N75" s="7">
        <f>E75*87%</f>
        <v>26.1</v>
      </c>
      <c r="O75" s="7">
        <f>E75*33%</f>
        <v>9.9</v>
      </c>
      <c r="P75" s="7">
        <f>E75*2%</f>
        <v>0.6</v>
      </c>
      <c r="Q75" s="7">
        <v>50</v>
      </c>
      <c r="R75" s="7">
        <f>C75/1000*50</f>
        <v>1.5</v>
      </c>
    </row>
    <row r="76" spans="1:18" ht="21" x14ac:dyDescent="0.35">
      <c r="A76" s="26"/>
      <c r="B76" s="205" t="s">
        <v>127</v>
      </c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12"/>
    </row>
    <row r="77" spans="1:18" ht="30" customHeight="1" x14ac:dyDescent="0.3">
      <c r="A77" s="26"/>
      <c r="B77" s="3" t="s">
        <v>89</v>
      </c>
      <c r="C77" s="4">
        <v>60</v>
      </c>
      <c r="D77" s="4">
        <v>0</v>
      </c>
      <c r="E77" s="4">
        <f>C77-D77</f>
        <v>60</v>
      </c>
      <c r="F77" s="4">
        <f>E77*2.8%</f>
        <v>1.6799999999999997</v>
      </c>
      <c r="G77" s="4">
        <f>E77*3.2%</f>
        <v>1.92</v>
      </c>
      <c r="H77" s="4">
        <f>E77*4.7%</f>
        <v>2.82</v>
      </c>
      <c r="I77" s="4">
        <f>E77*58%</f>
        <v>34.799999999999997</v>
      </c>
      <c r="J77" s="4">
        <f>E77*0.04</f>
        <v>2.4</v>
      </c>
      <c r="K77" s="4">
        <f>E77*1.3%</f>
        <v>0.78</v>
      </c>
      <c r="L77" s="4">
        <f>E77*0.01%</f>
        <v>6.0000000000000001E-3</v>
      </c>
      <c r="M77" s="4">
        <f>E77*120%</f>
        <v>72</v>
      </c>
      <c r="N77" s="4">
        <f>E77*90%</f>
        <v>54</v>
      </c>
      <c r="O77" s="4">
        <f>E77*14%</f>
        <v>8.4</v>
      </c>
      <c r="P77" s="4">
        <f>E77*0.06%</f>
        <v>3.5999999999999997E-2</v>
      </c>
      <c r="Q77" s="4">
        <v>110</v>
      </c>
      <c r="R77" s="31">
        <f>C77/1000*110</f>
        <v>6.6</v>
      </c>
    </row>
    <row r="78" spans="1:18" ht="18.75" x14ac:dyDescent="0.3">
      <c r="A78" s="26"/>
      <c r="B78" s="4" t="s">
        <v>68</v>
      </c>
      <c r="C78" s="4">
        <v>15</v>
      </c>
      <c r="D78" s="4">
        <v>0</v>
      </c>
      <c r="E78" s="4">
        <f>C78-D78</f>
        <v>15</v>
      </c>
      <c r="F78" s="4">
        <v>0</v>
      </c>
      <c r="G78" s="4">
        <v>0</v>
      </c>
      <c r="H78" s="4">
        <f>E78*99.8%</f>
        <v>14.97</v>
      </c>
      <c r="I78" s="4">
        <f>E78*379%</f>
        <v>56.85</v>
      </c>
      <c r="J78" s="4">
        <v>0</v>
      </c>
      <c r="K78" s="4">
        <v>0</v>
      </c>
      <c r="L78" s="4">
        <v>0</v>
      </c>
      <c r="M78" s="4">
        <f>E78*2%</f>
        <v>0.3</v>
      </c>
      <c r="N78" s="4">
        <v>0</v>
      </c>
      <c r="O78" s="4">
        <v>0</v>
      </c>
      <c r="P78" s="4">
        <f>E78*0.3%</f>
        <v>4.4999999999999998E-2</v>
      </c>
      <c r="Q78" s="4">
        <v>60</v>
      </c>
      <c r="R78" s="4">
        <f>C78/1000*60</f>
        <v>0.89999999999999991</v>
      </c>
    </row>
    <row r="79" spans="1:18" ht="22.5" customHeight="1" x14ac:dyDescent="0.3">
      <c r="A79" s="26"/>
      <c r="B79" s="31" t="s">
        <v>90</v>
      </c>
      <c r="C79" s="29">
        <v>1</v>
      </c>
      <c r="D79" s="29">
        <v>0</v>
      </c>
      <c r="E79" s="29">
        <f>C79-D79</f>
        <v>1</v>
      </c>
      <c r="F79" s="29">
        <f>E79*24.2%</f>
        <v>0.24199999999999999</v>
      </c>
      <c r="G79" s="29">
        <f>E79*17.5%</f>
        <v>0.17499999999999999</v>
      </c>
      <c r="H79" s="29">
        <f>E79*27.9%</f>
        <v>0.27899999999999997</v>
      </c>
      <c r="I79" s="29">
        <f>E79*380%</f>
        <v>3.8</v>
      </c>
      <c r="J79" s="29">
        <f>E79*0.1%</f>
        <v>1E-3</v>
      </c>
      <c r="K79" s="29">
        <v>0</v>
      </c>
      <c r="L79" s="29">
        <f>E79*0.02%</f>
        <v>2.0000000000000001E-4</v>
      </c>
      <c r="M79" s="29">
        <f>E79*55%</f>
        <v>0.55000000000000004</v>
      </c>
      <c r="N79" s="29">
        <f>E79*655%</f>
        <v>6.55</v>
      </c>
      <c r="O79" s="29">
        <f>E79*191%</f>
        <v>1.91</v>
      </c>
      <c r="P79" s="29">
        <f>E79*14.8%</f>
        <v>0.14800000000000002</v>
      </c>
      <c r="Q79" s="29">
        <v>850</v>
      </c>
      <c r="R79" s="29">
        <f>C79/1000*850</f>
        <v>0.85</v>
      </c>
    </row>
    <row r="80" spans="1:18" ht="18.75" x14ac:dyDescent="0.3">
      <c r="A80" s="36"/>
      <c r="B80" s="33" t="s">
        <v>69</v>
      </c>
      <c r="C80" s="7">
        <v>115</v>
      </c>
      <c r="D80" s="7">
        <f>SUM(D76:D79)</f>
        <v>0</v>
      </c>
      <c r="E80" s="7">
        <v>150</v>
      </c>
      <c r="F80" s="7">
        <f t="shared" ref="F80:P80" si="11">SUM(F76:F79)</f>
        <v>1.9219999999999997</v>
      </c>
      <c r="G80" s="7">
        <f t="shared" si="11"/>
        <v>2.0949999999999998</v>
      </c>
      <c r="H80" s="7">
        <f t="shared" si="11"/>
        <v>18.068999999999999</v>
      </c>
      <c r="I80" s="7">
        <f t="shared" si="11"/>
        <v>95.45</v>
      </c>
      <c r="J80" s="7">
        <f t="shared" si="11"/>
        <v>2.4009999999999998</v>
      </c>
      <c r="K80" s="7">
        <f t="shared" si="11"/>
        <v>0.78</v>
      </c>
      <c r="L80" s="7">
        <f t="shared" si="11"/>
        <v>6.1999999999999998E-3</v>
      </c>
      <c r="M80" s="7">
        <f t="shared" si="11"/>
        <v>72.849999999999994</v>
      </c>
      <c r="N80" s="7">
        <f t="shared" si="11"/>
        <v>60.55</v>
      </c>
      <c r="O80" s="7">
        <f t="shared" si="11"/>
        <v>10.31</v>
      </c>
      <c r="P80" s="7">
        <f t="shared" si="11"/>
        <v>0.22900000000000001</v>
      </c>
      <c r="Q80" s="7"/>
      <c r="R80" s="7">
        <f>SUM(R77:R79)</f>
        <v>8.35</v>
      </c>
    </row>
    <row r="81" spans="1:18" ht="21" x14ac:dyDescent="0.35">
      <c r="A81" s="40"/>
      <c r="B81" s="157" t="s">
        <v>116</v>
      </c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1"/>
    </row>
    <row r="82" spans="1:18" ht="18.75" x14ac:dyDescent="0.3">
      <c r="A82" s="40"/>
      <c r="B82" s="33" t="s">
        <v>69</v>
      </c>
      <c r="C82" s="7">
        <v>110</v>
      </c>
      <c r="D82" s="7">
        <v>0</v>
      </c>
      <c r="E82" s="7">
        <f>C82-D82</f>
        <v>110</v>
      </c>
      <c r="F82" s="7">
        <f>E82*0.8%</f>
        <v>0.88</v>
      </c>
      <c r="G82" s="7">
        <f>E82*0.3%</f>
        <v>0.33</v>
      </c>
      <c r="H82" s="7">
        <f>E82*8.1%</f>
        <v>8.91</v>
      </c>
      <c r="I82" s="7">
        <f>E82*40%</f>
        <v>44</v>
      </c>
      <c r="J82" s="7">
        <f>E82*0.06%</f>
        <v>6.5999999999999989E-2</v>
      </c>
      <c r="K82" s="7">
        <f>E82*38%</f>
        <v>41.8</v>
      </c>
      <c r="L82" s="7">
        <v>0</v>
      </c>
      <c r="M82" s="7">
        <f>E82*35%</f>
        <v>38.5</v>
      </c>
      <c r="N82" s="7">
        <f>E82*17%</f>
        <v>18.700000000000003</v>
      </c>
      <c r="O82" s="7">
        <f>E82*35%</f>
        <v>38.5</v>
      </c>
      <c r="P82" s="7">
        <f>E82*0.1%</f>
        <v>0.11</v>
      </c>
      <c r="Q82" s="7">
        <v>120</v>
      </c>
      <c r="R82" s="7">
        <f>C82/1000*120</f>
        <v>13.2</v>
      </c>
    </row>
    <row r="83" spans="1:18" ht="21" x14ac:dyDescent="0.35">
      <c r="A83" s="40"/>
      <c r="B83" s="162" t="s">
        <v>111</v>
      </c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4"/>
    </row>
    <row r="84" spans="1:18" ht="18.75" x14ac:dyDescent="0.3">
      <c r="A84" s="40"/>
      <c r="B84" s="33" t="s">
        <v>69</v>
      </c>
      <c r="C84" s="27">
        <v>3</v>
      </c>
      <c r="D84" s="7">
        <v>0</v>
      </c>
      <c r="E84" s="27">
        <f>C84-D84</f>
        <v>3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20</v>
      </c>
      <c r="R84" s="27">
        <f>C84/1000*20</f>
        <v>0.06</v>
      </c>
    </row>
    <row r="85" spans="1:18" ht="23.25" x14ac:dyDescent="0.35">
      <c r="A85" s="40"/>
      <c r="B85" s="56" t="s">
        <v>69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25">
        <f>R84+R82+R80+R75+R73+R70</f>
        <v>60.988</v>
      </c>
    </row>
    <row r="86" spans="1:18" ht="38.25" customHeight="1" x14ac:dyDescent="0.35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8" ht="38.25" customHeight="1" x14ac:dyDescent="0.35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8" ht="18.75" x14ac:dyDescent="0.25">
      <c r="A88" s="128"/>
      <c r="B88" s="139" t="s">
        <v>0</v>
      </c>
      <c r="C88" s="130" t="s">
        <v>98</v>
      </c>
      <c r="D88" s="168" t="s">
        <v>20</v>
      </c>
      <c r="E88" s="168" t="s">
        <v>19</v>
      </c>
      <c r="F88" s="136" t="s">
        <v>1</v>
      </c>
      <c r="G88" s="136" t="s">
        <v>2</v>
      </c>
      <c r="H88" s="125" t="s">
        <v>3</v>
      </c>
      <c r="I88" s="136" t="s">
        <v>4</v>
      </c>
      <c r="J88" s="153" t="s">
        <v>5</v>
      </c>
      <c r="K88" s="153"/>
      <c r="L88" s="153"/>
      <c r="M88" s="153" t="s">
        <v>6</v>
      </c>
      <c r="N88" s="153"/>
      <c r="O88" s="153"/>
      <c r="P88" s="153"/>
      <c r="Q88" s="136" t="s">
        <v>66</v>
      </c>
      <c r="R88" s="171" t="s">
        <v>121</v>
      </c>
    </row>
    <row r="89" spans="1:18" x14ac:dyDescent="0.25">
      <c r="A89" s="129"/>
      <c r="B89" s="139"/>
      <c r="C89" s="131"/>
      <c r="D89" s="169"/>
      <c r="E89" s="169"/>
      <c r="F89" s="137"/>
      <c r="G89" s="137"/>
      <c r="H89" s="126"/>
      <c r="I89" s="137"/>
      <c r="J89" s="136" t="s">
        <v>7</v>
      </c>
      <c r="K89" s="168" t="s">
        <v>8</v>
      </c>
      <c r="L89" s="136" t="s">
        <v>9</v>
      </c>
      <c r="M89" s="136" t="s">
        <v>10</v>
      </c>
      <c r="N89" s="136" t="s">
        <v>11</v>
      </c>
      <c r="O89" s="136" t="s">
        <v>12</v>
      </c>
      <c r="P89" s="136" t="s">
        <v>13</v>
      </c>
      <c r="Q89" s="137"/>
      <c r="R89" s="172"/>
    </row>
    <row r="90" spans="1:18" ht="18.75" x14ac:dyDescent="0.3">
      <c r="A90" s="51"/>
      <c r="B90" s="49" t="s">
        <v>80</v>
      </c>
      <c r="C90" s="132"/>
      <c r="D90" s="170"/>
      <c r="E90" s="170"/>
      <c r="F90" s="138"/>
      <c r="G90" s="138"/>
      <c r="H90" s="127"/>
      <c r="I90" s="138"/>
      <c r="J90" s="138"/>
      <c r="K90" s="170"/>
      <c r="L90" s="138"/>
      <c r="M90" s="138"/>
      <c r="N90" s="138"/>
      <c r="O90" s="138"/>
      <c r="P90" s="138"/>
      <c r="Q90" s="138"/>
      <c r="R90" s="173"/>
    </row>
    <row r="91" spans="1:18" s="91" customFormat="1" ht="21" x14ac:dyDescent="0.35">
      <c r="A91" s="90"/>
      <c r="B91" s="199" t="s">
        <v>128</v>
      </c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1"/>
    </row>
    <row r="92" spans="1:18" s="66" customFormat="1" ht="22.5" customHeight="1" x14ac:dyDescent="0.3">
      <c r="A92" s="26"/>
      <c r="B92" s="3" t="s">
        <v>129</v>
      </c>
      <c r="C92" s="4">
        <v>70</v>
      </c>
      <c r="D92" s="4">
        <f>C92*26.4%</f>
        <v>18.48</v>
      </c>
      <c r="E92" s="4">
        <f>SUM(C92-D92)</f>
        <v>51.519999999999996</v>
      </c>
      <c r="F92" s="4">
        <f>E92*18.6%</f>
        <v>9.5827200000000001</v>
      </c>
      <c r="G92" s="4">
        <f>E92*16%</f>
        <v>8.2431999999999999</v>
      </c>
      <c r="H92" s="4">
        <v>0</v>
      </c>
      <c r="I92" s="4">
        <f>E92*218%</f>
        <v>112.31359999999999</v>
      </c>
      <c r="J92" s="4">
        <f>E92*0.06%</f>
        <v>3.0911999999999995E-2</v>
      </c>
      <c r="K92" s="4">
        <v>0</v>
      </c>
      <c r="L92" s="4">
        <v>0</v>
      </c>
      <c r="M92" s="4">
        <f>E92*9%</f>
        <v>4.6367999999999991</v>
      </c>
      <c r="N92" s="4">
        <f>E92*188%</f>
        <v>96.857599999999991</v>
      </c>
      <c r="O92" s="4">
        <f>E92*22%</f>
        <v>11.334399999999999</v>
      </c>
      <c r="P92" s="4">
        <f>E92*2.7%</f>
        <v>1.3910400000000001</v>
      </c>
      <c r="Q92" s="4">
        <v>490</v>
      </c>
      <c r="R92" s="4">
        <f>C92/1000*490</f>
        <v>34.300000000000004</v>
      </c>
    </row>
    <row r="93" spans="1:18" ht="18.75" x14ac:dyDescent="0.3">
      <c r="A93" s="40"/>
      <c r="B93" s="3" t="s">
        <v>72</v>
      </c>
      <c r="C93" s="4">
        <v>50</v>
      </c>
      <c r="D93" s="4">
        <f>C93*0.25</f>
        <v>12.5</v>
      </c>
      <c r="E93" s="4">
        <f>C93-D93</f>
        <v>37.5</v>
      </c>
      <c r="F93" s="4">
        <f>E93*2%</f>
        <v>0.75</v>
      </c>
      <c r="G93" s="4">
        <f>E93*0.4%</f>
        <v>0.15</v>
      </c>
      <c r="H93" s="4">
        <f>E93*16.3%</f>
        <v>6.1124999999999998</v>
      </c>
      <c r="I93" s="4">
        <f>E93*80%</f>
        <v>30</v>
      </c>
      <c r="J93" s="4">
        <f>E93*0.12%</f>
        <v>4.4999999999999998E-2</v>
      </c>
      <c r="K93" s="4">
        <f>E93*20%</f>
        <v>7.5</v>
      </c>
      <c r="L93" s="4">
        <v>0</v>
      </c>
      <c r="M93" s="4">
        <f>E93*10%</f>
        <v>3.75</v>
      </c>
      <c r="N93" s="4">
        <f>E93*58%</f>
        <v>21.75</v>
      </c>
      <c r="O93" s="4">
        <f>E93*23%</f>
        <v>8.625</v>
      </c>
      <c r="P93" s="4">
        <f>E93*0.9%</f>
        <v>0.33750000000000002</v>
      </c>
      <c r="Q93" s="4">
        <v>57</v>
      </c>
      <c r="R93" s="4">
        <f>C93/1000*57</f>
        <v>2.85</v>
      </c>
    </row>
    <row r="94" spans="1:18" ht="18.75" x14ac:dyDescent="0.3">
      <c r="A94" s="26"/>
      <c r="B94" s="3" t="s">
        <v>15</v>
      </c>
      <c r="C94" s="4">
        <v>20</v>
      </c>
      <c r="D94" s="4">
        <v>5</v>
      </c>
      <c r="E94" s="4">
        <f>C94-D94</f>
        <v>15</v>
      </c>
      <c r="F94" s="4">
        <f>E94*1.3%</f>
        <v>0.19500000000000001</v>
      </c>
      <c r="G94" s="4">
        <f>E314*0.1%</f>
        <v>0</v>
      </c>
      <c r="H94" s="4">
        <f>E94*7.2%</f>
        <v>1.08</v>
      </c>
      <c r="I94" s="4">
        <f>E94*30%</f>
        <v>4.5</v>
      </c>
      <c r="J94" s="4">
        <f>E94*0.06%</f>
        <v>8.9999999999999993E-3</v>
      </c>
      <c r="K94" s="4">
        <f>E94*5%</f>
        <v>0.75</v>
      </c>
      <c r="L94" s="4">
        <v>0</v>
      </c>
      <c r="M94" s="4">
        <f>E94*51%</f>
        <v>7.65</v>
      </c>
      <c r="N94" s="4">
        <f>E94*55%</f>
        <v>8.25</v>
      </c>
      <c r="O94" s="4">
        <f>E94*38%</f>
        <v>5.7</v>
      </c>
      <c r="P94" s="4">
        <f>E94*0.7%</f>
        <v>0.10499999999999998</v>
      </c>
      <c r="Q94" s="4">
        <v>60</v>
      </c>
      <c r="R94" s="4">
        <f>C94/1000*60</f>
        <v>1.2</v>
      </c>
    </row>
    <row r="95" spans="1:18" ht="18.75" x14ac:dyDescent="0.3">
      <c r="A95" s="36"/>
      <c r="B95" s="3" t="s">
        <v>93</v>
      </c>
      <c r="C95" s="4">
        <v>15</v>
      </c>
      <c r="D95" s="4">
        <v>0</v>
      </c>
      <c r="E95" s="4">
        <f>C95-D95</f>
        <v>15</v>
      </c>
      <c r="F95" s="4">
        <f>E95*2%</f>
        <v>0.3</v>
      </c>
      <c r="G95" s="4">
        <f>E95*0.4%</f>
        <v>0.06</v>
      </c>
      <c r="H95" s="4">
        <f>E95*16.3%</f>
        <v>2.4450000000000003</v>
      </c>
      <c r="I95" s="4">
        <f>E95*80%</f>
        <v>12</v>
      </c>
      <c r="J95" s="4">
        <f>E95*0.12%</f>
        <v>1.7999999999999999E-2</v>
      </c>
      <c r="K95" s="4">
        <f>E95*20%</f>
        <v>3</v>
      </c>
      <c r="L95" s="4">
        <v>0</v>
      </c>
      <c r="M95" s="4">
        <f>E95*10%</f>
        <v>1.5</v>
      </c>
      <c r="N95" s="4">
        <f>E95*58%</f>
        <v>8.6999999999999993</v>
      </c>
      <c r="O95" s="4">
        <f>E95*23%</f>
        <v>3.45</v>
      </c>
      <c r="P95" s="4">
        <f>E95*0.9%</f>
        <v>0.13500000000000001</v>
      </c>
      <c r="Q95" s="4">
        <v>75</v>
      </c>
      <c r="R95" s="4">
        <f>C95/1000*75</f>
        <v>1.125</v>
      </c>
    </row>
    <row r="96" spans="1:18" ht="18.75" x14ac:dyDescent="0.3">
      <c r="A96" s="26"/>
      <c r="B96" s="3" t="s">
        <v>73</v>
      </c>
      <c r="C96" s="4">
        <v>20</v>
      </c>
      <c r="D96" s="4">
        <f>C96*0.16</f>
        <v>3.2</v>
      </c>
      <c r="E96" s="4">
        <f>C96-D96</f>
        <v>16.8</v>
      </c>
      <c r="F96" s="4">
        <f>E96*1.4%</f>
        <v>0.23519999999999999</v>
      </c>
      <c r="G96">
        <v>0</v>
      </c>
      <c r="H96" s="4">
        <f>E96*9.1%</f>
        <v>1.5287999999999999</v>
      </c>
      <c r="I96" s="4">
        <f>E96*41%</f>
        <v>6.8879999999999999</v>
      </c>
      <c r="J96" s="4">
        <f>E96*0.05%</f>
        <v>8.4000000000000012E-3</v>
      </c>
      <c r="K96" s="4">
        <f>E96*10%</f>
        <v>1.6800000000000002</v>
      </c>
      <c r="L96" s="4">
        <v>0</v>
      </c>
      <c r="M96" s="4">
        <f>E96*31%</f>
        <v>5.2080000000000002</v>
      </c>
      <c r="N96" s="4">
        <f>E96*58%</f>
        <v>9.7439999999999998</v>
      </c>
      <c r="O96" s="4">
        <f>E96*14%</f>
        <v>2.3520000000000003</v>
      </c>
      <c r="P96" s="4">
        <f>E96*0.8%</f>
        <v>0.13440000000000002</v>
      </c>
      <c r="Q96" s="4">
        <v>40</v>
      </c>
      <c r="R96" s="4">
        <f>C96/1000*40</f>
        <v>0.8</v>
      </c>
    </row>
    <row r="97" spans="1:18" x14ac:dyDescent="0.25">
      <c r="A97" s="64"/>
      <c r="B97" s="65" t="s">
        <v>26</v>
      </c>
      <c r="C97" s="65">
        <v>3</v>
      </c>
      <c r="D97" s="65">
        <v>0</v>
      </c>
      <c r="E97" s="65">
        <f>SUM(C97:D97)</f>
        <v>3</v>
      </c>
      <c r="F97" s="65">
        <f>E97*1%</f>
        <v>0.03</v>
      </c>
      <c r="G97" s="65">
        <v>0</v>
      </c>
      <c r="H97" s="65">
        <f>E97*3.5%</f>
        <v>0.10500000000000001</v>
      </c>
      <c r="I97" s="65">
        <f>E97*19%</f>
        <v>0.57000000000000006</v>
      </c>
      <c r="J97" s="65">
        <f>E97*0.03%</f>
        <v>8.9999999999999998E-4</v>
      </c>
      <c r="K97" s="65">
        <f>E97*10%</f>
        <v>0.30000000000000004</v>
      </c>
      <c r="L97" s="65">
        <v>0</v>
      </c>
      <c r="M97" s="65">
        <f>C97*7%</f>
        <v>0.21000000000000002</v>
      </c>
      <c r="N97" s="65">
        <f>E97*32%</f>
        <v>0.96</v>
      </c>
      <c r="O97" s="65">
        <f>E97*12%</f>
        <v>0.36</v>
      </c>
      <c r="P97" s="65">
        <f>E97*0.7%</f>
        <v>2.0999999999999998E-2</v>
      </c>
      <c r="Q97" s="65">
        <v>150</v>
      </c>
      <c r="R97" s="65">
        <f>C97/1000*150</f>
        <v>0.45</v>
      </c>
    </row>
    <row r="98" spans="1:18" ht="18.75" x14ac:dyDescent="0.3">
      <c r="A98" s="26"/>
      <c r="B98" s="3" t="s">
        <v>25</v>
      </c>
      <c r="C98" s="4">
        <v>5</v>
      </c>
      <c r="D98" s="4">
        <v>0</v>
      </c>
      <c r="E98" s="4">
        <f>SUM(C98:D98)</f>
        <v>5</v>
      </c>
      <c r="F98" s="4">
        <v>0</v>
      </c>
      <c r="G98" s="6">
        <f>E98*0.999</f>
        <v>4.9950000000000001</v>
      </c>
      <c r="H98" s="4">
        <v>0</v>
      </c>
      <c r="I98" s="4">
        <f>E98*8.99%</f>
        <v>0.44950000000000001</v>
      </c>
      <c r="J98" s="4">
        <f>E98*0.06%</f>
        <v>2.9999999999999996E-3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150</v>
      </c>
      <c r="R98" s="4">
        <f>C98/1000*150</f>
        <v>0.75</v>
      </c>
    </row>
    <row r="99" spans="1:18" ht="18.75" x14ac:dyDescent="0.3">
      <c r="A99" s="36"/>
      <c r="B99" s="33" t="s">
        <v>69</v>
      </c>
      <c r="C99" s="7">
        <f t="shared" ref="C99:P99" si="12">SUM(C92:C98)</f>
        <v>183</v>
      </c>
      <c r="D99" s="7">
        <f t="shared" si="12"/>
        <v>39.180000000000007</v>
      </c>
      <c r="E99" s="7">
        <v>250</v>
      </c>
      <c r="F99" s="7">
        <f t="shared" si="12"/>
        <v>11.092920000000001</v>
      </c>
      <c r="G99" s="7">
        <f t="shared" si="12"/>
        <v>13.4482</v>
      </c>
      <c r="H99" s="7">
        <f t="shared" si="12"/>
        <v>11.2713</v>
      </c>
      <c r="I99" s="7">
        <f t="shared" si="12"/>
        <v>166.72110000000001</v>
      </c>
      <c r="J99" s="7">
        <f t="shared" si="12"/>
        <v>0.11521199999999999</v>
      </c>
      <c r="K99" s="7">
        <f t="shared" si="12"/>
        <v>13.23</v>
      </c>
      <c r="L99" s="7">
        <f t="shared" si="12"/>
        <v>0</v>
      </c>
      <c r="M99" s="7">
        <f t="shared" si="12"/>
        <v>22.954799999999999</v>
      </c>
      <c r="N99" s="7">
        <f t="shared" si="12"/>
        <v>146.26159999999999</v>
      </c>
      <c r="O99" s="7">
        <f t="shared" si="12"/>
        <v>31.821399999999997</v>
      </c>
      <c r="P99" s="7">
        <f t="shared" si="12"/>
        <v>2.1239400000000002</v>
      </c>
      <c r="Q99" s="7"/>
      <c r="R99" s="7">
        <f>SUM(R92:R98)</f>
        <v>41.475000000000009</v>
      </c>
    </row>
    <row r="100" spans="1:18" s="93" customFormat="1" ht="21" x14ac:dyDescent="0.35">
      <c r="A100" s="92"/>
      <c r="B100" s="162" t="s">
        <v>141</v>
      </c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/>
    </row>
    <row r="101" spans="1:18" ht="18.75" x14ac:dyDescent="0.3">
      <c r="A101" s="40"/>
      <c r="B101" s="1" t="s">
        <v>15</v>
      </c>
      <c r="C101" s="4">
        <v>15</v>
      </c>
      <c r="D101" s="4">
        <f>C101*0.2</f>
        <v>3</v>
      </c>
      <c r="E101" s="4">
        <f>C101-D101</f>
        <v>12</v>
      </c>
      <c r="F101" s="4">
        <f>E101*1.3%</f>
        <v>0.15600000000000003</v>
      </c>
      <c r="G101" s="6">
        <f>E101*0.001</f>
        <v>1.2E-2</v>
      </c>
      <c r="H101" s="4">
        <f>E101*0.072</f>
        <v>0.86399999999999988</v>
      </c>
      <c r="I101" s="4">
        <f>E101*0.3</f>
        <v>3.5999999999999996</v>
      </c>
      <c r="J101" s="4">
        <f>E101*0.06%</f>
        <v>7.1999999999999998E-3</v>
      </c>
      <c r="K101" s="4">
        <f>E101*5%</f>
        <v>0.60000000000000009</v>
      </c>
      <c r="L101" s="4">
        <v>0</v>
      </c>
      <c r="M101" s="4">
        <f>E101*51%</f>
        <v>6.12</v>
      </c>
      <c r="N101" s="4">
        <f>E101*55%</f>
        <v>6.6000000000000005</v>
      </c>
      <c r="O101" s="4">
        <f>E101*38%</f>
        <v>4.5600000000000005</v>
      </c>
      <c r="P101" s="4">
        <f>E101*0.7%</f>
        <v>8.3999999999999991E-2</v>
      </c>
      <c r="Q101" s="4">
        <v>60</v>
      </c>
      <c r="R101" s="3">
        <f>C101/1000*60</f>
        <v>0.89999999999999991</v>
      </c>
    </row>
    <row r="102" spans="1:18" s="74" customFormat="1" ht="15.75" customHeight="1" x14ac:dyDescent="0.25">
      <c r="A102" s="85"/>
      <c r="B102" s="1" t="s">
        <v>77</v>
      </c>
      <c r="C102" s="73">
        <v>5</v>
      </c>
      <c r="D102" s="73">
        <v>0</v>
      </c>
      <c r="E102" s="73">
        <f>C102-D102</f>
        <v>5</v>
      </c>
      <c r="F102" s="73">
        <v>0</v>
      </c>
      <c r="G102" s="84">
        <f>E102*0.999</f>
        <v>4.9950000000000001</v>
      </c>
      <c r="H102" s="73">
        <v>0</v>
      </c>
      <c r="I102" s="73">
        <f>E102*8.99</f>
        <v>44.95</v>
      </c>
      <c r="J102" s="73">
        <f>E102*0.06%</f>
        <v>2.9999999999999996E-3</v>
      </c>
      <c r="K102" s="73">
        <v>0</v>
      </c>
      <c r="L102" s="73">
        <v>0</v>
      </c>
      <c r="M102" s="73">
        <v>0</v>
      </c>
      <c r="N102" s="73">
        <v>0</v>
      </c>
      <c r="O102" s="73">
        <v>0</v>
      </c>
      <c r="P102" s="73">
        <v>0</v>
      </c>
      <c r="Q102" s="73">
        <v>180</v>
      </c>
      <c r="R102" s="73">
        <f>C102/1000*180</f>
        <v>0.9</v>
      </c>
    </row>
    <row r="103" spans="1:18" ht="18.75" x14ac:dyDescent="0.3">
      <c r="A103" s="40"/>
      <c r="B103" s="1" t="s">
        <v>16</v>
      </c>
      <c r="C103" s="4">
        <v>24</v>
      </c>
      <c r="D103" s="4">
        <f>C103*0.2</f>
        <v>4.8000000000000007</v>
      </c>
      <c r="E103" s="4">
        <f>C103-D103</f>
        <v>19.2</v>
      </c>
      <c r="F103" s="4">
        <f>E103*0.018</f>
        <v>0.34559999999999996</v>
      </c>
      <c r="G103" s="6">
        <f>E103*0.001</f>
        <v>1.9199999999999998E-2</v>
      </c>
      <c r="H103" s="4">
        <f>E103*0.047</f>
        <v>0.90239999999999998</v>
      </c>
      <c r="I103" s="4">
        <f>E103*0.27</f>
        <v>5.1840000000000002</v>
      </c>
      <c r="J103" s="4">
        <f>E103*0.03%</f>
        <v>5.7599999999999995E-3</v>
      </c>
      <c r="K103" s="4">
        <f>E103*45%</f>
        <v>8.64</v>
      </c>
      <c r="L103" s="4">
        <v>0</v>
      </c>
      <c r="M103" s="4">
        <f>E103*48%</f>
        <v>9.2159999999999993</v>
      </c>
      <c r="N103" s="4">
        <f>E103*31%</f>
        <v>5.952</v>
      </c>
      <c r="O103" s="4">
        <f>E103*16%</f>
        <v>3.0720000000000001</v>
      </c>
      <c r="P103" s="4">
        <f>E103*0.6%</f>
        <v>0.1152</v>
      </c>
      <c r="Q103" s="4">
        <v>30</v>
      </c>
      <c r="R103" s="3">
        <f>C103/1000*30</f>
        <v>0.72</v>
      </c>
    </row>
    <row r="104" spans="1:18" ht="18.75" x14ac:dyDescent="0.3">
      <c r="A104" s="40"/>
      <c r="B104" s="1" t="s">
        <v>17</v>
      </c>
      <c r="C104" s="4">
        <v>4</v>
      </c>
      <c r="D104" s="4">
        <v>0</v>
      </c>
      <c r="E104" s="4">
        <v>3</v>
      </c>
      <c r="F104" s="4">
        <v>0</v>
      </c>
      <c r="G104" s="6">
        <f>E104*0.999</f>
        <v>2.9969999999999999</v>
      </c>
      <c r="H104" s="4">
        <v>0</v>
      </c>
      <c r="I104" s="4">
        <f>E104*8.99%</f>
        <v>0.26970000000000005</v>
      </c>
      <c r="J104" s="4">
        <f>E104*0.06%</f>
        <v>1.8E-3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150</v>
      </c>
      <c r="R104" s="3">
        <f>C104/1000*150</f>
        <v>0.6</v>
      </c>
    </row>
    <row r="105" spans="1:18" ht="18.75" x14ac:dyDescent="0.3">
      <c r="A105" s="40"/>
      <c r="B105" s="32" t="s">
        <v>69</v>
      </c>
      <c r="C105" s="5">
        <f>SUM(C101:C104)</f>
        <v>48</v>
      </c>
      <c r="D105" s="5">
        <f t="shared" ref="D105:P105" si="13">SUM(D101:D104)</f>
        <v>7.8000000000000007</v>
      </c>
      <c r="E105" s="5">
        <f t="shared" si="13"/>
        <v>39.200000000000003</v>
      </c>
      <c r="F105" s="5">
        <f t="shared" si="13"/>
        <v>0.50160000000000005</v>
      </c>
      <c r="G105" s="5">
        <f t="shared" si="13"/>
        <v>8.0231999999999992</v>
      </c>
      <c r="H105" s="5">
        <f t="shared" si="13"/>
        <v>1.7664</v>
      </c>
      <c r="I105" s="5">
        <f t="shared" si="13"/>
        <v>54.003700000000002</v>
      </c>
      <c r="J105" s="5">
        <f t="shared" si="13"/>
        <v>1.7759999999999998E-2</v>
      </c>
      <c r="K105" s="5">
        <f t="shared" si="13"/>
        <v>9.24</v>
      </c>
      <c r="L105" s="5">
        <f t="shared" si="13"/>
        <v>0</v>
      </c>
      <c r="M105" s="5">
        <f t="shared" si="13"/>
        <v>15.335999999999999</v>
      </c>
      <c r="N105" s="5">
        <f t="shared" si="13"/>
        <v>12.552</v>
      </c>
      <c r="O105" s="5">
        <f t="shared" si="13"/>
        <v>7.6320000000000006</v>
      </c>
      <c r="P105" s="5">
        <f t="shared" si="13"/>
        <v>0.19919999999999999</v>
      </c>
      <c r="Q105" s="5"/>
      <c r="R105" s="5">
        <f>SUM(R101:R104)</f>
        <v>3.1199999999999997</v>
      </c>
    </row>
    <row r="106" spans="1:18" s="91" customFormat="1" ht="21" x14ac:dyDescent="0.35">
      <c r="A106" s="90"/>
      <c r="B106" s="221" t="s">
        <v>109</v>
      </c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3"/>
    </row>
    <row r="107" spans="1:18" ht="18.75" x14ac:dyDescent="0.3">
      <c r="A107" s="40"/>
      <c r="B107" s="33" t="s">
        <v>69</v>
      </c>
      <c r="C107" s="7">
        <v>50</v>
      </c>
      <c r="D107" s="7">
        <v>0</v>
      </c>
      <c r="E107" s="7">
        <f>C107-D107</f>
        <v>50</v>
      </c>
      <c r="F107" s="7">
        <f>E107*7.9%</f>
        <v>3.95</v>
      </c>
      <c r="G107" s="7">
        <f>E107*1%</f>
        <v>0.5</v>
      </c>
      <c r="H107" s="7">
        <f>E107*48.1%</f>
        <v>24.05</v>
      </c>
      <c r="I107" s="7">
        <f>E107*239%</f>
        <v>119.5</v>
      </c>
      <c r="J107" s="7">
        <f>E107*0.16%</f>
        <v>0.08</v>
      </c>
      <c r="K107" s="7">
        <v>0</v>
      </c>
      <c r="L107" s="7">
        <v>0</v>
      </c>
      <c r="M107" s="7">
        <f>E107*23%</f>
        <v>11.5</v>
      </c>
      <c r="N107" s="7">
        <f>E107*87%</f>
        <v>43.5</v>
      </c>
      <c r="O107" s="7">
        <f>E107*33%</f>
        <v>16.5</v>
      </c>
      <c r="P107" s="7">
        <f>E107*2%</f>
        <v>1</v>
      </c>
      <c r="Q107" s="7">
        <v>50</v>
      </c>
      <c r="R107" s="7">
        <f>C107/1000*50</f>
        <v>2.5</v>
      </c>
    </row>
    <row r="108" spans="1:18" s="91" customFormat="1" ht="21" x14ac:dyDescent="0.35">
      <c r="A108" s="90"/>
      <c r="B108" s="221" t="s">
        <v>110</v>
      </c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3"/>
    </row>
    <row r="109" spans="1:18" ht="18.75" x14ac:dyDescent="0.3">
      <c r="A109" s="36"/>
      <c r="B109" s="4" t="s">
        <v>52</v>
      </c>
      <c r="C109" s="4">
        <v>1</v>
      </c>
      <c r="D109" s="4">
        <v>0</v>
      </c>
      <c r="E109" s="4">
        <f>C109-D109</f>
        <v>1</v>
      </c>
      <c r="F109" s="4">
        <f>E109*21.74%</f>
        <v>0.21739999999999998</v>
      </c>
      <c r="G109" s="4">
        <f>E109*7.61%</f>
        <v>7.6100000000000001E-2</v>
      </c>
      <c r="H109" s="4">
        <f>E109*2.86%</f>
        <v>2.86E-2</v>
      </c>
      <c r="I109" s="4">
        <f>E109*9.18%</f>
        <v>9.1799999999999993E-2</v>
      </c>
      <c r="J109" s="4">
        <f>E109*4.7%</f>
        <v>4.7E-2</v>
      </c>
      <c r="K109" s="4">
        <f>E109*11%</f>
        <v>0.11</v>
      </c>
      <c r="L109" s="4">
        <f>E109*5.6%</f>
        <v>5.5999999999999994E-2</v>
      </c>
      <c r="M109" s="4">
        <f>E109*50%</f>
        <v>0.5</v>
      </c>
      <c r="N109" s="4">
        <f>E109*10%</f>
        <v>0.1</v>
      </c>
      <c r="O109" s="4">
        <f>E109*110%</f>
        <v>1.1000000000000001</v>
      </c>
      <c r="P109" s="4">
        <f>E109*456%</f>
        <v>4.5599999999999996</v>
      </c>
      <c r="Q109" s="4">
        <v>950</v>
      </c>
      <c r="R109" s="4">
        <f>C109/1000*950</f>
        <v>0.95000000000000007</v>
      </c>
    </row>
    <row r="110" spans="1:18" ht="18.75" x14ac:dyDescent="0.3">
      <c r="A110" s="40"/>
      <c r="B110" s="4" t="s">
        <v>68</v>
      </c>
      <c r="C110" s="4">
        <v>15</v>
      </c>
      <c r="D110" s="4">
        <v>0</v>
      </c>
      <c r="E110" s="4">
        <v>15</v>
      </c>
      <c r="F110" s="4">
        <v>0</v>
      </c>
      <c r="G110" s="4">
        <v>0</v>
      </c>
      <c r="H110" s="4">
        <f>E110*99.8%</f>
        <v>14.97</v>
      </c>
      <c r="I110" s="4">
        <f>E110*379%</f>
        <v>56.85</v>
      </c>
      <c r="J110" s="4">
        <v>0</v>
      </c>
      <c r="K110" s="4">
        <v>0</v>
      </c>
      <c r="L110" s="4">
        <v>0</v>
      </c>
      <c r="M110" s="4">
        <f>E110*2%</f>
        <v>0.3</v>
      </c>
      <c r="N110" s="4">
        <v>0</v>
      </c>
      <c r="O110" s="4">
        <v>0</v>
      </c>
      <c r="P110" s="4">
        <f>E110*0.3%</f>
        <v>4.4999999999999998E-2</v>
      </c>
      <c r="Q110" s="4">
        <v>60</v>
      </c>
      <c r="R110" s="4">
        <f>C110/1000*60</f>
        <v>0.89999999999999991</v>
      </c>
    </row>
    <row r="111" spans="1:18" ht="18.75" x14ac:dyDescent="0.3">
      <c r="A111" s="40"/>
      <c r="B111" s="33" t="s">
        <v>69</v>
      </c>
      <c r="C111" s="7">
        <f>SUM(C109:C110)</f>
        <v>16</v>
      </c>
      <c r="D111" s="7">
        <f>SUM(D110:D110)</f>
        <v>0</v>
      </c>
      <c r="E111" s="7">
        <v>150</v>
      </c>
      <c r="F111" s="7">
        <f t="shared" ref="F111:P111" si="14">SUM(F110:F110)</f>
        <v>0</v>
      </c>
      <c r="G111" s="7">
        <f t="shared" si="14"/>
        <v>0</v>
      </c>
      <c r="H111" s="7">
        <f t="shared" si="14"/>
        <v>14.97</v>
      </c>
      <c r="I111" s="7">
        <f t="shared" si="14"/>
        <v>56.85</v>
      </c>
      <c r="J111" s="7">
        <f t="shared" si="14"/>
        <v>0</v>
      </c>
      <c r="K111" s="7">
        <f t="shared" si="14"/>
        <v>0</v>
      </c>
      <c r="L111" s="7">
        <f t="shared" si="14"/>
        <v>0</v>
      </c>
      <c r="M111" s="7">
        <f t="shared" si="14"/>
        <v>0.3</v>
      </c>
      <c r="N111" s="7">
        <f t="shared" si="14"/>
        <v>0</v>
      </c>
      <c r="O111" s="7">
        <f t="shared" si="14"/>
        <v>0</v>
      </c>
      <c r="P111" s="7">
        <f t="shared" si="14"/>
        <v>4.4999999999999998E-2</v>
      </c>
      <c r="Q111" s="7"/>
      <c r="R111" s="7">
        <f>SUM(R109:R110)</f>
        <v>1.85</v>
      </c>
    </row>
    <row r="112" spans="1:18" s="91" customFormat="1" ht="24.75" customHeight="1" x14ac:dyDescent="0.35">
      <c r="A112" s="90"/>
      <c r="B112" s="196" t="s">
        <v>116</v>
      </c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5"/>
    </row>
    <row r="113" spans="1:18" ht="18.75" x14ac:dyDescent="0.3">
      <c r="A113" s="40"/>
      <c r="B113" s="33" t="s">
        <v>69</v>
      </c>
      <c r="C113" s="7">
        <v>100</v>
      </c>
      <c r="D113" s="7">
        <v>0</v>
      </c>
      <c r="E113" s="7">
        <f>C113-D113</f>
        <v>100</v>
      </c>
      <c r="F113" s="7">
        <f>E113*0.8%</f>
        <v>0.8</v>
      </c>
      <c r="G113" s="7">
        <f>E113*0.3%</f>
        <v>0.3</v>
      </c>
      <c r="H113" s="7" t="s">
        <v>92</v>
      </c>
      <c r="I113" s="7">
        <f>E113*40%</f>
        <v>40</v>
      </c>
      <c r="J113" s="7">
        <f>E113*0.06%</f>
        <v>0.06</v>
      </c>
      <c r="K113" s="7">
        <f>E113*38%</f>
        <v>38</v>
      </c>
      <c r="L113" s="7">
        <v>0</v>
      </c>
      <c r="M113" s="7">
        <f>E113*35%</f>
        <v>35</v>
      </c>
      <c r="N113" s="7">
        <f>E113*17%</f>
        <v>17</v>
      </c>
      <c r="O113" s="7">
        <f>E113*35%</f>
        <v>35</v>
      </c>
      <c r="P113" s="7">
        <f>E113*0.1%</f>
        <v>0.1</v>
      </c>
      <c r="Q113" s="7">
        <v>120</v>
      </c>
      <c r="R113" s="7">
        <f>C113/1000*120</f>
        <v>12</v>
      </c>
    </row>
    <row r="114" spans="1:18" s="91" customFormat="1" ht="21" x14ac:dyDescent="0.35">
      <c r="A114" s="90"/>
      <c r="B114" s="196" t="s">
        <v>111</v>
      </c>
      <c r="C114" s="197"/>
      <c r="D114" s="197"/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8"/>
    </row>
    <row r="115" spans="1:18" ht="18.75" x14ac:dyDescent="0.3">
      <c r="A115" s="40"/>
      <c r="B115" s="33" t="s">
        <v>69</v>
      </c>
      <c r="C115" s="27">
        <v>3</v>
      </c>
      <c r="D115" s="7">
        <v>0</v>
      </c>
      <c r="E115" s="27">
        <f>C115-D115</f>
        <v>3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20</v>
      </c>
      <c r="R115" s="27">
        <f>C115/1000*20</f>
        <v>0.06</v>
      </c>
    </row>
    <row r="116" spans="1:18" ht="23.25" x14ac:dyDescent="0.35">
      <c r="A116" s="40"/>
      <c r="B116" s="25" t="s">
        <v>69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>
        <f>R115+R113+R111+R107+R105+R99</f>
        <v>61.00500000000001</v>
      </c>
    </row>
    <row r="117" spans="1:18" ht="40.5" customHeight="1" x14ac:dyDescent="0.35">
      <c r="A117" s="42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</row>
    <row r="118" spans="1:18" ht="40.5" customHeight="1" x14ac:dyDescent="0.3">
      <c r="A118" s="41"/>
    </row>
    <row r="119" spans="1:18" ht="18.75" x14ac:dyDescent="0.25">
      <c r="A119" s="128"/>
      <c r="B119" s="139" t="s">
        <v>0</v>
      </c>
      <c r="C119" s="130" t="s">
        <v>98</v>
      </c>
      <c r="D119" s="168" t="s">
        <v>20</v>
      </c>
      <c r="E119" s="168" t="s">
        <v>19</v>
      </c>
      <c r="F119" s="136" t="s">
        <v>1</v>
      </c>
      <c r="G119" s="136" t="s">
        <v>2</v>
      </c>
      <c r="H119" s="125" t="s">
        <v>3</v>
      </c>
      <c r="I119" s="136" t="s">
        <v>4</v>
      </c>
      <c r="J119" s="153" t="s">
        <v>5</v>
      </c>
      <c r="K119" s="153"/>
      <c r="L119" s="153"/>
      <c r="M119" s="153" t="s">
        <v>6</v>
      </c>
      <c r="N119" s="153"/>
      <c r="O119" s="153"/>
      <c r="P119" s="153"/>
      <c r="Q119" s="136" t="s">
        <v>66</v>
      </c>
      <c r="R119" s="171" t="s">
        <v>121</v>
      </c>
    </row>
    <row r="120" spans="1:18" x14ac:dyDescent="0.25">
      <c r="A120" s="129"/>
      <c r="B120" s="139"/>
      <c r="C120" s="131"/>
      <c r="D120" s="169"/>
      <c r="E120" s="169"/>
      <c r="F120" s="137"/>
      <c r="G120" s="137"/>
      <c r="H120" s="126"/>
      <c r="I120" s="137"/>
      <c r="J120" s="136" t="s">
        <v>7</v>
      </c>
      <c r="K120" s="168" t="s">
        <v>8</v>
      </c>
      <c r="L120" s="136" t="s">
        <v>9</v>
      </c>
      <c r="M120" s="136" t="s">
        <v>10</v>
      </c>
      <c r="N120" s="136" t="s">
        <v>11</v>
      </c>
      <c r="O120" s="136" t="s">
        <v>12</v>
      </c>
      <c r="P120" s="136" t="s">
        <v>13</v>
      </c>
      <c r="Q120" s="137"/>
      <c r="R120" s="172"/>
    </row>
    <row r="121" spans="1:18" ht="18.75" x14ac:dyDescent="0.3">
      <c r="A121" s="51"/>
      <c r="B121" s="49" t="s">
        <v>82</v>
      </c>
      <c r="C121" s="132"/>
      <c r="D121" s="170"/>
      <c r="E121" s="170"/>
      <c r="F121" s="138"/>
      <c r="G121" s="138"/>
      <c r="H121" s="127"/>
      <c r="I121" s="138"/>
      <c r="J121" s="138"/>
      <c r="K121" s="170"/>
      <c r="L121" s="138"/>
      <c r="M121" s="138"/>
      <c r="N121" s="138"/>
      <c r="O121" s="138"/>
      <c r="P121" s="138"/>
      <c r="Q121" s="138"/>
      <c r="R121" s="173"/>
    </row>
    <row r="122" spans="1:18" ht="21" x14ac:dyDescent="0.35">
      <c r="A122" s="26"/>
      <c r="B122" s="205" t="s">
        <v>138</v>
      </c>
      <c r="C122" s="151"/>
      <c r="D122" s="151"/>
      <c r="E122" s="151"/>
      <c r="F122" s="151"/>
      <c r="G122" s="151"/>
      <c r="H122" s="151"/>
      <c r="I122" s="151"/>
      <c r="J122" s="151"/>
      <c r="K122" s="151"/>
      <c r="L122" s="151"/>
      <c r="M122" s="151"/>
      <c r="N122" s="151"/>
      <c r="O122" s="151"/>
      <c r="P122" s="151"/>
      <c r="Q122" s="151"/>
      <c r="R122" s="152"/>
    </row>
    <row r="123" spans="1:18" ht="18.75" x14ac:dyDescent="0.3">
      <c r="A123" s="26"/>
      <c r="B123" s="3" t="s">
        <v>21</v>
      </c>
      <c r="C123" s="4">
        <v>42</v>
      </c>
      <c r="D123" s="4">
        <v>0</v>
      </c>
      <c r="E123" s="4">
        <f>C123-D123</f>
        <v>42</v>
      </c>
      <c r="F123" s="4">
        <f>E123*12.6%</f>
        <v>5.2919999999999998</v>
      </c>
      <c r="G123" s="4">
        <f>E123*3.3%</f>
        <v>1.3860000000000001</v>
      </c>
      <c r="H123" s="4">
        <f>E123*62.1%</f>
        <v>26.082000000000001</v>
      </c>
      <c r="I123" s="4">
        <f>E123*335%</f>
        <v>140.70000000000002</v>
      </c>
      <c r="J123" s="4">
        <f>E123*0.43%</f>
        <v>0.18060000000000001</v>
      </c>
      <c r="K123" s="4">
        <v>0</v>
      </c>
      <c r="L123" s="4">
        <v>0</v>
      </c>
      <c r="M123" s="4">
        <f>E123*20%</f>
        <v>8.4</v>
      </c>
      <c r="N123" s="4">
        <f>E123*298%</f>
        <v>125.16</v>
      </c>
      <c r="O123" s="4">
        <f>E123*200%</f>
        <v>84</v>
      </c>
      <c r="P123" s="4">
        <f>E123*6.7%</f>
        <v>2.8140000000000001</v>
      </c>
      <c r="Q123" s="4">
        <v>85</v>
      </c>
      <c r="R123" s="24">
        <f>C123/1000*85</f>
        <v>3.5700000000000003</v>
      </c>
    </row>
    <row r="124" spans="1:18" ht="18.75" x14ac:dyDescent="0.3">
      <c r="A124" s="26"/>
      <c r="B124" s="3" t="s">
        <v>22</v>
      </c>
      <c r="C124" s="4">
        <v>9</v>
      </c>
      <c r="D124" s="4">
        <v>0</v>
      </c>
      <c r="E124" s="4">
        <f>C124-D124</f>
        <v>9</v>
      </c>
      <c r="F124" s="4">
        <f>E124*0.5%</f>
        <v>4.4999999999999998E-2</v>
      </c>
      <c r="G124" s="4">
        <f>E124*82.5%</f>
        <v>7.4249999999999998</v>
      </c>
      <c r="H124" s="4">
        <f>E124*0.8%</f>
        <v>7.2000000000000008E-2</v>
      </c>
      <c r="I124" s="4">
        <f>E124*748%</f>
        <v>67.320000000000007</v>
      </c>
      <c r="J124" s="4">
        <v>0</v>
      </c>
      <c r="K124" s="4">
        <v>0</v>
      </c>
      <c r="L124" s="4">
        <f>E124*0.59%</f>
        <v>5.3100000000000001E-2</v>
      </c>
      <c r="M124" s="4">
        <f>E124*12%</f>
        <v>1.08</v>
      </c>
      <c r="N124" s="4">
        <f>E124*19%</f>
        <v>1.71</v>
      </c>
      <c r="O124" s="4">
        <f>E124*0.4%</f>
        <v>3.6000000000000004E-2</v>
      </c>
      <c r="P124" s="4">
        <f>E124*0.2%</f>
        <v>1.8000000000000002E-2</v>
      </c>
      <c r="Q124" s="4">
        <v>480</v>
      </c>
      <c r="R124" s="24">
        <f>C124/1000*480</f>
        <v>4.3199999999999994</v>
      </c>
    </row>
    <row r="125" spans="1:18" ht="18.75" x14ac:dyDescent="0.3">
      <c r="A125" s="26"/>
      <c r="B125" s="26" t="s">
        <v>69</v>
      </c>
      <c r="C125" s="7">
        <f>C124+C123</f>
        <v>51</v>
      </c>
      <c r="D125" s="7">
        <v>0</v>
      </c>
      <c r="E125" s="7">
        <v>100</v>
      </c>
      <c r="F125" s="7">
        <f t="shared" ref="F125:P125" si="15">SUM(F123:F124)</f>
        <v>5.3369999999999997</v>
      </c>
      <c r="G125" s="7">
        <f t="shared" si="15"/>
        <v>8.8109999999999999</v>
      </c>
      <c r="H125" s="7">
        <f t="shared" si="15"/>
        <v>26.154</v>
      </c>
      <c r="I125" s="7">
        <f t="shared" si="15"/>
        <v>208.02000000000004</v>
      </c>
      <c r="J125" s="7">
        <f t="shared" si="15"/>
        <v>0.18060000000000001</v>
      </c>
      <c r="K125" s="7">
        <f t="shared" si="15"/>
        <v>0</v>
      </c>
      <c r="L125" s="7">
        <f t="shared" si="15"/>
        <v>5.3100000000000001E-2</v>
      </c>
      <c r="M125" s="7">
        <f t="shared" si="15"/>
        <v>9.48</v>
      </c>
      <c r="N125" s="7">
        <f t="shared" si="15"/>
        <v>126.86999999999999</v>
      </c>
      <c r="O125" s="7">
        <f t="shared" si="15"/>
        <v>84.036000000000001</v>
      </c>
      <c r="P125" s="7">
        <f t="shared" si="15"/>
        <v>2.8319999999999999</v>
      </c>
      <c r="Q125" s="7"/>
      <c r="R125" s="7">
        <f t="shared" ref="R125" si="16">SUM(R123:R124)</f>
        <v>7.89</v>
      </c>
    </row>
    <row r="126" spans="1:18" ht="21" x14ac:dyDescent="0.35">
      <c r="A126" s="40"/>
      <c r="B126" s="205" t="s">
        <v>113</v>
      </c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2"/>
    </row>
    <row r="127" spans="1:18" ht="18.75" x14ac:dyDescent="0.3">
      <c r="A127" s="40"/>
      <c r="B127" s="3" t="s">
        <v>74</v>
      </c>
      <c r="C127" s="4">
        <v>90</v>
      </c>
      <c r="D127" s="4">
        <f>C127*25%</f>
        <v>22.5</v>
      </c>
      <c r="E127" s="4">
        <f>C127-D127</f>
        <v>67.5</v>
      </c>
      <c r="F127" s="4">
        <f>E127*18.2%</f>
        <v>12.285</v>
      </c>
      <c r="G127" s="4">
        <f>E127*18.4%</f>
        <v>12.42</v>
      </c>
      <c r="H127" s="4">
        <f>E127*0.7%</f>
        <v>0.47249999999999998</v>
      </c>
      <c r="I127" s="4">
        <f>E127*241%</f>
        <v>162.67500000000001</v>
      </c>
      <c r="J127" s="4">
        <f>E127*0.07%</f>
        <v>4.7250000000000007E-2</v>
      </c>
      <c r="K127" s="4">
        <v>0</v>
      </c>
      <c r="L127" s="4">
        <f>E127*0.07%</f>
        <v>4.7250000000000007E-2</v>
      </c>
      <c r="M127" s="4">
        <f>E127*16%</f>
        <v>10.8</v>
      </c>
      <c r="N127" s="4">
        <f>E127*165%</f>
        <v>111.375</v>
      </c>
      <c r="O127" s="4">
        <f>E127*18%</f>
        <v>12.15</v>
      </c>
      <c r="P127" s="4">
        <f>E127*1.6%</f>
        <v>1.08</v>
      </c>
      <c r="Q127" s="4">
        <v>270</v>
      </c>
      <c r="R127" s="4">
        <f>C127/1000*270</f>
        <v>24.3</v>
      </c>
    </row>
    <row r="128" spans="1:18" ht="18.75" x14ac:dyDescent="0.3">
      <c r="A128" s="40"/>
      <c r="B128" s="33" t="s">
        <v>69</v>
      </c>
      <c r="C128" s="7">
        <f>SUM(C127:C127)</f>
        <v>90</v>
      </c>
      <c r="D128" s="7">
        <f>SUM(D127:D127)</f>
        <v>22.5</v>
      </c>
      <c r="E128" s="7">
        <f>E127-0</f>
        <v>67.5</v>
      </c>
      <c r="F128" s="7">
        <f t="shared" ref="F128:P128" si="17">SUM(F127:F127)</f>
        <v>12.285</v>
      </c>
      <c r="G128" s="7">
        <f t="shared" si="17"/>
        <v>12.42</v>
      </c>
      <c r="H128" s="7">
        <f t="shared" si="17"/>
        <v>0.47249999999999998</v>
      </c>
      <c r="I128" s="7">
        <f t="shared" si="17"/>
        <v>162.67500000000001</v>
      </c>
      <c r="J128" s="7">
        <f t="shared" si="17"/>
        <v>4.7250000000000007E-2</v>
      </c>
      <c r="K128" s="7">
        <f t="shared" si="17"/>
        <v>0</v>
      </c>
      <c r="L128" s="7">
        <f t="shared" si="17"/>
        <v>4.7250000000000007E-2</v>
      </c>
      <c r="M128" s="7">
        <f t="shared" si="17"/>
        <v>10.8</v>
      </c>
      <c r="N128" s="7">
        <f t="shared" si="17"/>
        <v>111.375</v>
      </c>
      <c r="O128" s="7">
        <f t="shared" si="17"/>
        <v>12.15</v>
      </c>
      <c r="P128" s="7">
        <f t="shared" si="17"/>
        <v>1.08</v>
      </c>
      <c r="Q128" s="7"/>
      <c r="R128" s="7">
        <f t="shared" ref="R128" si="18">SUM(R127:R127)</f>
        <v>24.3</v>
      </c>
    </row>
    <row r="129" spans="1:18" s="93" customFormat="1" ht="21" x14ac:dyDescent="0.35">
      <c r="A129" s="92"/>
      <c r="B129" s="157" t="s">
        <v>109</v>
      </c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8"/>
    </row>
    <row r="130" spans="1:18" ht="18.75" x14ac:dyDescent="0.3">
      <c r="A130" s="36"/>
      <c r="B130" s="33" t="s">
        <v>69</v>
      </c>
      <c r="C130" s="7">
        <v>30</v>
      </c>
      <c r="D130" s="7">
        <v>0</v>
      </c>
      <c r="E130" s="7">
        <f>C130-D130</f>
        <v>30</v>
      </c>
      <c r="F130" s="7">
        <f>E130*7.9%</f>
        <v>2.37</v>
      </c>
      <c r="G130" s="7">
        <f>E130*1%</f>
        <v>0.3</v>
      </c>
      <c r="H130" s="7">
        <f>E130*48.1%</f>
        <v>14.430000000000001</v>
      </c>
      <c r="I130" s="7">
        <f>E130*239%</f>
        <v>71.7</v>
      </c>
      <c r="J130" s="7">
        <f>E130*0.16%</f>
        <v>4.8000000000000001E-2</v>
      </c>
      <c r="K130" s="7">
        <v>0</v>
      </c>
      <c r="L130" s="7">
        <v>0</v>
      </c>
      <c r="M130" s="7">
        <f>E130*23%</f>
        <v>6.9</v>
      </c>
      <c r="N130" s="7">
        <f>E130*87%</f>
        <v>26.1</v>
      </c>
      <c r="O130" s="7">
        <f>E130*33%</f>
        <v>9.9</v>
      </c>
      <c r="P130" s="7">
        <f>E130*2%</f>
        <v>0.6</v>
      </c>
      <c r="Q130" s="7">
        <v>50</v>
      </c>
      <c r="R130" s="7">
        <f>C130/1000*50</f>
        <v>1.5</v>
      </c>
    </row>
    <row r="131" spans="1:18" ht="21" x14ac:dyDescent="0.35">
      <c r="A131" s="36"/>
      <c r="B131" s="157" t="s">
        <v>115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5"/>
    </row>
    <row r="132" spans="1:18" ht="18.75" x14ac:dyDescent="0.3">
      <c r="A132" s="36"/>
      <c r="B132" s="4" t="s">
        <v>67</v>
      </c>
      <c r="C132" s="4">
        <v>15</v>
      </c>
      <c r="D132" s="4">
        <v>0</v>
      </c>
      <c r="E132" s="4">
        <v>15</v>
      </c>
      <c r="F132" s="4">
        <f>E132*5.2%</f>
        <v>0.78</v>
      </c>
      <c r="G132" s="4">
        <v>0</v>
      </c>
      <c r="H132" s="4">
        <f>E132*55%</f>
        <v>8.25</v>
      </c>
      <c r="I132" s="4">
        <f>E132*234%</f>
        <v>35.099999999999994</v>
      </c>
      <c r="J132" s="4">
        <f>E132*0.1%</f>
        <v>1.4999999999999999E-2</v>
      </c>
      <c r="K132" s="4">
        <f>E132*4%</f>
        <v>0.6</v>
      </c>
      <c r="L132" s="4">
        <v>0</v>
      </c>
      <c r="M132" s="4">
        <f>E132*160%</f>
        <v>24</v>
      </c>
      <c r="N132" s="4">
        <f>E132*146%</f>
        <v>21.9</v>
      </c>
      <c r="O132" s="4">
        <f>E132*105%</f>
        <v>15.75</v>
      </c>
      <c r="P132" s="4">
        <f>E132*3.2%</f>
        <v>0.48</v>
      </c>
      <c r="Q132" s="4">
        <v>350</v>
      </c>
      <c r="R132" s="4">
        <f>C132/1000*350</f>
        <v>5.25</v>
      </c>
    </row>
    <row r="133" spans="1:18" ht="18.75" x14ac:dyDescent="0.3">
      <c r="A133" s="36"/>
      <c r="B133" s="4" t="s">
        <v>68</v>
      </c>
      <c r="C133" s="4">
        <v>10</v>
      </c>
      <c r="D133" s="4">
        <v>0</v>
      </c>
      <c r="E133" s="4">
        <v>10</v>
      </c>
      <c r="F133" s="4">
        <v>0</v>
      </c>
      <c r="G133" s="4">
        <v>0</v>
      </c>
      <c r="H133" s="4">
        <f>E133*99.8%</f>
        <v>9.98</v>
      </c>
      <c r="I133" s="4">
        <f>E133*379%</f>
        <v>37.9</v>
      </c>
      <c r="J133" s="4">
        <v>0</v>
      </c>
      <c r="K133" s="4">
        <v>0</v>
      </c>
      <c r="L133" s="4">
        <v>0</v>
      </c>
      <c r="M133" s="4">
        <f>E133*2%</f>
        <v>0.2</v>
      </c>
      <c r="N133" s="4">
        <v>0</v>
      </c>
      <c r="O133" s="4">
        <v>0</v>
      </c>
      <c r="P133" s="4">
        <f>E133*0.3%</f>
        <v>0.03</v>
      </c>
      <c r="Q133" s="4">
        <v>60</v>
      </c>
      <c r="R133" s="4">
        <f>C133/1000*60</f>
        <v>0.6</v>
      </c>
    </row>
    <row r="134" spans="1:18" ht="18.75" x14ac:dyDescent="0.3">
      <c r="A134" s="36"/>
      <c r="B134" s="33" t="s">
        <v>69</v>
      </c>
      <c r="C134" s="7">
        <v>25</v>
      </c>
      <c r="D134" s="7">
        <f t="shared" ref="D134" si="19">SUM(D132:D133)</f>
        <v>0</v>
      </c>
      <c r="E134" s="7">
        <v>150</v>
      </c>
      <c r="F134" s="7">
        <f t="shared" ref="F134:P134" si="20">SUM(F132:F133)</f>
        <v>0.78</v>
      </c>
      <c r="G134" s="7">
        <f t="shared" si="20"/>
        <v>0</v>
      </c>
      <c r="H134" s="7">
        <f t="shared" si="20"/>
        <v>18.23</v>
      </c>
      <c r="I134" s="7">
        <f t="shared" si="20"/>
        <v>73</v>
      </c>
      <c r="J134" s="7">
        <f t="shared" si="20"/>
        <v>1.4999999999999999E-2</v>
      </c>
      <c r="K134" s="7">
        <f t="shared" si="20"/>
        <v>0.6</v>
      </c>
      <c r="L134" s="7">
        <f t="shared" si="20"/>
        <v>0</v>
      </c>
      <c r="M134" s="7">
        <f t="shared" si="20"/>
        <v>24.2</v>
      </c>
      <c r="N134" s="7">
        <f t="shared" si="20"/>
        <v>21.9</v>
      </c>
      <c r="O134" s="7">
        <f t="shared" si="20"/>
        <v>15.75</v>
      </c>
      <c r="P134" s="7">
        <f t="shared" si="20"/>
        <v>0.51</v>
      </c>
      <c r="Q134" s="7"/>
      <c r="R134" s="7">
        <f>SUM(R132:R133)</f>
        <v>5.85</v>
      </c>
    </row>
    <row r="135" spans="1:18" s="93" customFormat="1" ht="21" x14ac:dyDescent="0.35">
      <c r="A135" s="92"/>
      <c r="B135" s="162" t="s">
        <v>117</v>
      </c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6"/>
    </row>
    <row r="136" spans="1:18" ht="18.75" x14ac:dyDescent="0.3">
      <c r="A136" s="36"/>
      <c r="B136" s="33" t="s">
        <v>69</v>
      </c>
      <c r="C136" s="7">
        <v>40</v>
      </c>
      <c r="D136" s="7">
        <v>0</v>
      </c>
      <c r="E136" s="7">
        <f>C136-D136</f>
        <v>40</v>
      </c>
      <c r="F136" s="4">
        <f>E136*7.5%</f>
        <v>3</v>
      </c>
      <c r="G136" s="4">
        <f>E136*11.8%</f>
        <v>4.7200000000000006</v>
      </c>
      <c r="H136" s="4">
        <f>E136*74.4%</f>
        <v>29.760000000000005</v>
      </c>
      <c r="I136" s="4">
        <f>E136*436%</f>
        <v>174.4</v>
      </c>
      <c r="J136" s="4">
        <f>E136*0.08%</f>
        <v>3.2000000000000001E-2</v>
      </c>
      <c r="K136" s="4">
        <f>E136*0%</f>
        <v>0</v>
      </c>
      <c r="L136" s="4">
        <f>E136*0%</f>
        <v>0</v>
      </c>
      <c r="M136" s="4">
        <f>E136*29%</f>
        <v>11.6</v>
      </c>
      <c r="N136" s="4">
        <f>E136*90%</f>
        <v>36</v>
      </c>
      <c r="O136" s="4">
        <f>E136*20%</f>
        <v>8</v>
      </c>
      <c r="P136" s="4">
        <f>E136*2.1%</f>
        <v>0.84000000000000008</v>
      </c>
      <c r="Q136" s="4">
        <v>160</v>
      </c>
      <c r="R136" s="7">
        <f>C136/1000*160</f>
        <v>6.4</v>
      </c>
    </row>
    <row r="137" spans="1:18" ht="22.5" customHeight="1" x14ac:dyDescent="0.3">
      <c r="A137" s="36"/>
      <c r="B137" s="133" t="s">
        <v>106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5"/>
    </row>
    <row r="138" spans="1:18" ht="18.75" x14ac:dyDescent="0.3">
      <c r="A138" s="36"/>
      <c r="B138" s="33" t="s">
        <v>69</v>
      </c>
      <c r="C138" s="7">
        <v>100</v>
      </c>
      <c r="D138" s="7">
        <v>0</v>
      </c>
      <c r="E138" s="7">
        <f>C138-D138</f>
        <v>100</v>
      </c>
      <c r="F138" s="7">
        <f>E138*1.5%</f>
        <v>1.5</v>
      </c>
      <c r="G138" s="7">
        <f>E138*0.5%</f>
        <v>0.5</v>
      </c>
      <c r="H138" s="7">
        <f>E138*21%</f>
        <v>21</v>
      </c>
      <c r="I138" s="7">
        <f>E138*96%</f>
        <v>96</v>
      </c>
      <c r="J138" s="7">
        <v>0</v>
      </c>
      <c r="K138" s="7">
        <v>8.6999999999999993</v>
      </c>
      <c r="L138" s="7">
        <v>3</v>
      </c>
      <c r="M138" s="7">
        <v>5</v>
      </c>
      <c r="N138" s="7">
        <v>22</v>
      </c>
      <c r="O138" s="7">
        <v>27</v>
      </c>
      <c r="P138" s="7">
        <v>0.3</v>
      </c>
      <c r="Q138" s="7">
        <v>150</v>
      </c>
      <c r="R138" s="7">
        <f>C138/1000*150</f>
        <v>15</v>
      </c>
    </row>
    <row r="139" spans="1:18" ht="18.75" x14ac:dyDescent="0.3">
      <c r="A139" s="40"/>
      <c r="B139" s="167" t="s">
        <v>107</v>
      </c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4"/>
    </row>
    <row r="140" spans="1:18" ht="18.75" x14ac:dyDescent="0.3">
      <c r="A140" s="40"/>
      <c r="B140" s="33" t="s">
        <v>69</v>
      </c>
      <c r="C140" s="27">
        <v>3</v>
      </c>
      <c r="D140" s="7">
        <v>0</v>
      </c>
      <c r="E140" s="27">
        <f>C140-D140</f>
        <v>3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20</v>
      </c>
      <c r="R140" s="27">
        <f>C140/1000*20</f>
        <v>0.06</v>
      </c>
    </row>
    <row r="141" spans="1:18" ht="23.25" x14ac:dyDescent="0.35">
      <c r="A141" s="40"/>
      <c r="B141" s="25" t="s">
        <v>69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>
        <f>R140+R138+R136+R134+R130+R128+R125</f>
        <v>61</v>
      </c>
    </row>
    <row r="142" spans="1:18" ht="39" customHeight="1" x14ac:dyDescent="0.35">
      <c r="A142" s="42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</row>
    <row r="143" spans="1:18" ht="39" customHeight="1" x14ac:dyDescent="0.35">
      <c r="A143" s="42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</row>
    <row r="144" spans="1:18" ht="18.75" x14ac:dyDescent="0.25">
      <c r="A144" s="128"/>
      <c r="B144" s="139" t="s">
        <v>0</v>
      </c>
      <c r="C144" s="130" t="s">
        <v>98</v>
      </c>
      <c r="D144" s="168" t="s">
        <v>20</v>
      </c>
      <c r="E144" s="168" t="s">
        <v>19</v>
      </c>
      <c r="F144" s="136" t="s">
        <v>1</v>
      </c>
      <c r="G144" s="136" t="s">
        <v>2</v>
      </c>
      <c r="H144" s="125" t="s">
        <v>3</v>
      </c>
      <c r="I144" s="136" t="s">
        <v>4</v>
      </c>
      <c r="J144" s="153" t="s">
        <v>5</v>
      </c>
      <c r="K144" s="153"/>
      <c r="L144" s="153"/>
      <c r="M144" s="153" t="s">
        <v>6</v>
      </c>
      <c r="N144" s="153"/>
      <c r="O144" s="153"/>
      <c r="P144" s="153"/>
      <c r="Q144" s="136" t="s">
        <v>66</v>
      </c>
      <c r="R144" s="171" t="s">
        <v>121</v>
      </c>
    </row>
    <row r="145" spans="1:18" x14ac:dyDescent="0.25">
      <c r="A145" s="129"/>
      <c r="B145" s="139"/>
      <c r="C145" s="131"/>
      <c r="D145" s="169"/>
      <c r="E145" s="169"/>
      <c r="F145" s="137"/>
      <c r="G145" s="137"/>
      <c r="H145" s="126"/>
      <c r="I145" s="137"/>
      <c r="J145" s="136" t="s">
        <v>7</v>
      </c>
      <c r="K145" s="168" t="s">
        <v>8</v>
      </c>
      <c r="L145" s="136" t="s">
        <v>9</v>
      </c>
      <c r="M145" s="136" t="s">
        <v>10</v>
      </c>
      <c r="N145" s="136" t="s">
        <v>11</v>
      </c>
      <c r="O145" s="136" t="s">
        <v>12</v>
      </c>
      <c r="P145" s="136" t="s">
        <v>13</v>
      </c>
      <c r="Q145" s="137"/>
      <c r="R145" s="172"/>
    </row>
    <row r="146" spans="1:18" ht="18.75" x14ac:dyDescent="0.3">
      <c r="A146" s="51"/>
      <c r="B146" s="49" t="s">
        <v>83</v>
      </c>
      <c r="C146" s="132"/>
      <c r="D146" s="170"/>
      <c r="E146" s="170"/>
      <c r="F146" s="138"/>
      <c r="G146" s="138"/>
      <c r="H146" s="127"/>
      <c r="I146" s="138"/>
      <c r="J146" s="138"/>
      <c r="K146" s="170"/>
      <c r="L146" s="138"/>
      <c r="M146" s="138"/>
      <c r="N146" s="138"/>
      <c r="O146" s="138"/>
      <c r="P146" s="138"/>
      <c r="Q146" s="138"/>
      <c r="R146" s="173"/>
    </row>
    <row r="147" spans="1:18" ht="20.25" x14ac:dyDescent="0.3">
      <c r="A147" s="51"/>
      <c r="B147" s="234" t="s">
        <v>130</v>
      </c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6"/>
    </row>
    <row r="148" spans="1:18" ht="18.75" x14ac:dyDescent="0.3">
      <c r="A148" s="36"/>
      <c r="B148" s="3" t="s">
        <v>93</v>
      </c>
      <c r="C148" s="4">
        <v>50</v>
      </c>
      <c r="D148" s="4">
        <v>0</v>
      </c>
      <c r="E148" s="4">
        <f>C148-D148</f>
        <v>50</v>
      </c>
      <c r="F148" s="4">
        <f>E148*2%</f>
        <v>1</v>
      </c>
      <c r="G148" s="4">
        <f>E148*0.4%</f>
        <v>0.2</v>
      </c>
      <c r="H148" s="4">
        <f>E148*16.3%</f>
        <v>8.15</v>
      </c>
      <c r="I148" s="4">
        <f>E148*80%</f>
        <v>40</v>
      </c>
      <c r="J148" s="4">
        <f>E148*0.12%</f>
        <v>0.06</v>
      </c>
      <c r="K148" s="4">
        <f>E148*20%</f>
        <v>10</v>
      </c>
      <c r="L148" s="4">
        <v>0</v>
      </c>
      <c r="M148" s="4">
        <f>E148*10%</f>
        <v>5</v>
      </c>
      <c r="N148" s="4">
        <f>E148*58%</f>
        <v>28.999999999999996</v>
      </c>
      <c r="O148" s="4">
        <f>E148*23%</f>
        <v>11.5</v>
      </c>
      <c r="P148" s="4">
        <f>E148*0.9%</f>
        <v>0.45000000000000007</v>
      </c>
      <c r="Q148" s="4">
        <v>75</v>
      </c>
      <c r="R148" s="4">
        <f>C148/1000*75</f>
        <v>3.75</v>
      </c>
    </row>
    <row r="149" spans="1:18" ht="18.75" x14ac:dyDescent="0.3">
      <c r="A149" s="36"/>
      <c r="B149" s="1" t="s">
        <v>17</v>
      </c>
      <c r="C149" s="4">
        <v>10</v>
      </c>
      <c r="D149" s="4">
        <v>0</v>
      </c>
      <c r="E149" s="4">
        <f>C149-D149</f>
        <v>10</v>
      </c>
      <c r="F149" s="4">
        <v>0</v>
      </c>
      <c r="G149" s="6">
        <f>E149*99.9%</f>
        <v>9.990000000000002</v>
      </c>
      <c r="H149" s="4">
        <v>0</v>
      </c>
      <c r="I149" s="4">
        <f>E149*8.99%</f>
        <v>0.89900000000000002</v>
      </c>
      <c r="J149" s="4">
        <f>E149*0.06%</f>
        <v>5.9999999999999993E-3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150</v>
      </c>
      <c r="R149" s="3">
        <f>C149/1000*150</f>
        <v>1.5</v>
      </c>
    </row>
    <row r="150" spans="1:18" ht="18.75" x14ac:dyDescent="0.3">
      <c r="A150" s="36"/>
      <c r="B150" s="3" t="s">
        <v>15</v>
      </c>
      <c r="C150" s="4">
        <v>25</v>
      </c>
      <c r="D150" s="4">
        <f>C150*0.2</f>
        <v>5</v>
      </c>
      <c r="E150" s="4">
        <f>C150-D150</f>
        <v>20</v>
      </c>
      <c r="F150" s="4">
        <f>E150*1.3%</f>
        <v>0.26</v>
      </c>
      <c r="G150" s="6">
        <f>E150*0.001</f>
        <v>0.02</v>
      </c>
      <c r="H150" s="4">
        <f>E150*0.072</f>
        <v>1.44</v>
      </c>
      <c r="I150" s="4">
        <f>E150*0.3</f>
        <v>6</v>
      </c>
      <c r="J150" s="4">
        <f>E150*0.06%</f>
        <v>1.1999999999999999E-2</v>
      </c>
      <c r="K150" s="4">
        <f>E150*5%</f>
        <v>1</v>
      </c>
      <c r="L150" s="4">
        <v>0</v>
      </c>
      <c r="M150" s="4">
        <f>E150*51%</f>
        <v>10.199999999999999</v>
      </c>
      <c r="N150" s="4">
        <f>E150*55%</f>
        <v>11</v>
      </c>
      <c r="O150" s="4">
        <f>E150*38%</f>
        <v>7.6</v>
      </c>
      <c r="P150" s="4">
        <f>E150*0.7%</f>
        <v>0.13999999999999999</v>
      </c>
      <c r="Q150" s="4">
        <v>60</v>
      </c>
      <c r="R150" s="3">
        <f>C150/1000*60</f>
        <v>1.5</v>
      </c>
    </row>
    <row r="151" spans="1:18" ht="18.75" x14ac:dyDescent="0.3">
      <c r="A151" s="26"/>
      <c r="B151" s="3" t="s">
        <v>73</v>
      </c>
      <c r="C151" s="4">
        <v>25</v>
      </c>
      <c r="D151" s="4">
        <f>C151*0.16</f>
        <v>4</v>
      </c>
      <c r="E151" s="4">
        <f>C151-D151</f>
        <v>21</v>
      </c>
      <c r="F151" s="4">
        <f>E151*1.4%</f>
        <v>0.29399999999999998</v>
      </c>
      <c r="G151">
        <v>0</v>
      </c>
      <c r="H151" s="4">
        <f>E151*9.1%</f>
        <v>1.911</v>
      </c>
      <c r="I151" s="4">
        <f>E151*41%</f>
        <v>8.61</v>
      </c>
      <c r="J151" s="4">
        <f>E151*0.05%</f>
        <v>1.0500000000000001E-2</v>
      </c>
      <c r="K151" s="4">
        <f>E151*10%</f>
        <v>2.1</v>
      </c>
      <c r="L151" s="4">
        <v>0</v>
      </c>
      <c r="M151" s="4">
        <f>E151*31%</f>
        <v>6.51</v>
      </c>
      <c r="N151" s="4">
        <f>E151*58%</f>
        <v>12.18</v>
      </c>
      <c r="O151" s="4">
        <f>E151*14%</f>
        <v>2.9400000000000004</v>
      </c>
      <c r="P151" s="4">
        <f>E151*0.8%</f>
        <v>0.16800000000000001</v>
      </c>
      <c r="Q151" s="4">
        <v>40</v>
      </c>
      <c r="R151" s="4">
        <f>C151/1000*40</f>
        <v>1</v>
      </c>
    </row>
    <row r="152" spans="1:18" ht="18.75" x14ac:dyDescent="0.3">
      <c r="A152" s="36"/>
      <c r="B152" s="3" t="s">
        <v>74</v>
      </c>
      <c r="C152" s="4">
        <v>90</v>
      </c>
      <c r="D152" s="4">
        <f>C152*25%</f>
        <v>22.5</v>
      </c>
      <c r="E152" s="4">
        <v>75</v>
      </c>
      <c r="F152" s="4">
        <f>E152*18.2%</f>
        <v>13.65</v>
      </c>
      <c r="G152" s="4">
        <f>E152*18.4%</f>
        <v>13.799999999999999</v>
      </c>
      <c r="H152" s="4">
        <f>E152*0.7%</f>
        <v>0.52499999999999991</v>
      </c>
      <c r="I152" s="4">
        <f>E152*241%</f>
        <v>180.75</v>
      </c>
      <c r="J152" s="4">
        <f>E152*0.07%</f>
        <v>5.2500000000000005E-2</v>
      </c>
      <c r="K152" s="4">
        <v>0</v>
      </c>
      <c r="L152" s="4">
        <f>E152*0.07%</f>
        <v>5.2500000000000005E-2</v>
      </c>
      <c r="M152" s="4">
        <f>E152*16%</f>
        <v>12</v>
      </c>
      <c r="N152" s="4">
        <f>E152*165%</f>
        <v>123.75</v>
      </c>
      <c r="O152" s="4">
        <f>E152*18%</f>
        <v>13.5</v>
      </c>
      <c r="P152" s="4">
        <f>E152*1.6%</f>
        <v>1.2</v>
      </c>
      <c r="Q152" s="4">
        <v>270</v>
      </c>
      <c r="R152" s="4">
        <f>C152/1000*270</f>
        <v>24.3</v>
      </c>
    </row>
    <row r="153" spans="1:18" ht="18.75" x14ac:dyDescent="0.3">
      <c r="A153" s="36"/>
      <c r="B153" s="32" t="s">
        <v>69</v>
      </c>
      <c r="C153" s="7">
        <f t="shared" ref="C153:P153" si="21">SUM(C148:C152)</f>
        <v>200</v>
      </c>
      <c r="D153" s="7">
        <f t="shared" si="21"/>
        <v>31.5</v>
      </c>
      <c r="E153" s="7">
        <f t="shared" si="21"/>
        <v>176</v>
      </c>
      <c r="F153" s="7">
        <f t="shared" si="21"/>
        <v>15.204000000000001</v>
      </c>
      <c r="G153" s="7">
        <f t="shared" si="21"/>
        <v>24.009999999999998</v>
      </c>
      <c r="H153" s="7">
        <f t="shared" si="21"/>
        <v>12.026</v>
      </c>
      <c r="I153" s="7">
        <f t="shared" si="21"/>
        <v>236.25900000000001</v>
      </c>
      <c r="J153" s="7">
        <f t="shared" si="21"/>
        <v>0.14100000000000001</v>
      </c>
      <c r="K153" s="7">
        <f t="shared" si="21"/>
        <v>13.1</v>
      </c>
      <c r="L153" s="7">
        <f t="shared" si="21"/>
        <v>5.2500000000000005E-2</v>
      </c>
      <c r="M153" s="7">
        <f t="shared" si="21"/>
        <v>33.71</v>
      </c>
      <c r="N153" s="7">
        <f t="shared" si="21"/>
        <v>175.93</v>
      </c>
      <c r="O153" s="7">
        <f t="shared" si="21"/>
        <v>35.540000000000006</v>
      </c>
      <c r="P153" s="7">
        <f t="shared" si="21"/>
        <v>1.9580000000000002</v>
      </c>
      <c r="Q153" s="7"/>
      <c r="R153" s="7">
        <f>SUM(R148:R152)</f>
        <v>32.049999999999997</v>
      </c>
    </row>
    <row r="154" spans="1:18" s="93" customFormat="1" ht="24" customHeight="1" x14ac:dyDescent="0.35">
      <c r="A154" s="92"/>
      <c r="B154" s="205" t="s">
        <v>135</v>
      </c>
      <c r="C154" s="206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12"/>
    </row>
    <row r="155" spans="1:18" ht="18.75" x14ac:dyDescent="0.3">
      <c r="A155" s="36"/>
      <c r="B155" s="3" t="s">
        <v>72</v>
      </c>
      <c r="C155" s="4">
        <v>28</v>
      </c>
      <c r="D155" s="4">
        <f>C155*0.25</f>
        <v>7</v>
      </c>
      <c r="E155" s="4">
        <f>C155-D155</f>
        <v>21</v>
      </c>
      <c r="F155" s="4">
        <f>E155*2%</f>
        <v>0.42</v>
      </c>
      <c r="G155" s="4">
        <f>E155*0.4%</f>
        <v>8.4000000000000005E-2</v>
      </c>
      <c r="H155" s="4">
        <f>E155*16.3%</f>
        <v>3.423</v>
      </c>
      <c r="I155" s="4">
        <f>E155*80%</f>
        <v>16.8</v>
      </c>
      <c r="J155" s="4">
        <f>E155*0.12%</f>
        <v>2.5199999999999997E-2</v>
      </c>
      <c r="K155" s="4">
        <f>E155*20%</f>
        <v>4.2</v>
      </c>
      <c r="L155" s="4">
        <v>0</v>
      </c>
      <c r="M155" s="4">
        <f>E155*10%</f>
        <v>2.1</v>
      </c>
      <c r="N155" s="4">
        <f>E155*58%</f>
        <v>12.18</v>
      </c>
      <c r="O155" s="4">
        <f>E155*23%</f>
        <v>4.83</v>
      </c>
      <c r="P155" s="4">
        <f>E155*0.9%</f>
        <v>0.18900000000000003</v>
      </c>
      <c r="Q155" s="4">
        <v>57</v>
      </c>
      <c r="R155" s="4">
        <f>C155/1000*57</f>
        <v>1.5960000000000001</v>
      </c>
    </row>
    <row r="156" spans="1:18" ht="18.75" x14ac:dyDescent="0.3">
      <c r="A156" s="36"/>
      <c r="B156" s="3" t="s">
        <v>15</v>
      </c>
      <c r="C156" s="4">
        <v>28</v>
      </c>
      <c r="D156" s="4">
        <f>C156*0.2</f>
        <v>5.6000000000000005</v>
      </c>
      <c r="E156" s="4">
        <f>C156-D156</f>
        <v>22.4</v>
      </c>
      <c r="F156" s="4">
        <f>E156*1.3%</f>
        <v>0.29120000000000001</v>
      </c>
      <c r="G156" s="6">
        <f>E156*0.001</f>
        <v>2.24E-2</v>
      </c>
      <c r="H156" s="4">
        <f>E156*0.072</f>
        <v>1.6127999999999998</v>
      </c>
      <c r="I156" s="4">
        <f>E156*0.3</f>
        <v>6.72</v>
      </c>
      <c r="J156" s="4">
        <f>E156*0.06%</f>
        <v>1.3439999999999999E-2</v>
      </c>
      <c r="K156" s="4">
        <f>E156*5%</f>
        <v>1.1199999999999999</v>
      </c>
      <c r="L156" s="4">
        <v>0</v>
      </c>
      <c r="M156" s="4">
        <f>E156*51%</f>
        <v>11.423999999999999</v>
      </c>
      <c r="N156" s="4">
        <f>E156*55%</f>
        <v>12.32</v>
      </c>
      <c r="O156" s="4">
        <f>E156*38%</f>
        <v>8.5119999999999987</v>
      </c>
      <c r="P156" s="4">
        <f>E156*0.7%</f>
        <v>0.15679999999999997</v>
      </c>
      <c r="Q156" s="4">
        <v>60</v>
      </c>
      <c r="R156" s="3">
        <f>C156/1000*60</f>
        <v>1.68</v>
      </c>
    </row>
    <row r="157" spans="1:18" ht="18.75" x14ac:dyDescent="0.3">
      <c r="A157" s="36"/>
      <c r="B157" s="1" t="s">
        <v>71</v>
      </c>
      <c r="C157" s="4">
        <v>28</v>
      </c>
      <c r="D157" s="4">
        <f>C157*0.2</f>
        <v>5.6000000000000005</v>
      </c>
      <c r="E157" s="4">
        <f>C157-D157</f>
        <v>22.4</v>
      </c>
      <c r="F157" s="4">
        <f>E157*0.015</f>
        <v>0.33599999999999997</v>
      </c>
      <c r="G157" s="4">
        <f>E157*0.001</f>
        <v>2.24E-2</v>
      </c>
      <c r="H157" s="4">
        <f>E157*0.091</f>
        <v>2.0383999999999998</v>
      </c>
      <c r="I157" s="4">
        <f>E157*0.42</f>
        <v>9.4079999999999995</v>
      </c>
      <c r="J157" s="4">
        <f>E157*0.02%</f>
        <v>4.4799999999999996E-3</v>
      </c>
      <c r="K157" s="4">
        <f>E157*10%</f>
        <v>2.2399999999999998</v>
      </c>
      <c r="L157" s="4">
        <v>0</v>
      </c>
      <c r="M157" s="4">
        <f>E157*37%</f>
        <v>8.2880000000000003</v>
      </c>
      <c r="N157" s="4">
        <f>E157*43%</f>
        <v>9.6319999999999997</v>
      </c>
      <c r="O157" s="4">
        <f>E157*22%</f>
        <v>4.9279999999999999</v>
      </c>
      <c r="P157" s="4">
        <f>E157*1.4%</f>
        <v>0.31359999999999993</v>
      </c>
      <c r="Q157" s="4">
        <v>60</v>
      </c>
      <c r="R157" s="4">
        <f>C157/1000*60</f>
        <v>1.68</v>
      </c>
    </row>
    <row r="158" spans="1:18" s="74" customFormat="1" ht="15.75" customHeight="1" x14ac:dyDescent="0.25">
      <c r="A158" s="85"/>
      <c r="B158" s="1" t="s">
        <v>77</v>
      </c>
      <c r="C158" s="73">
        <v>8</v>
      </c>
      <c r="D158" s="73">
        <v>0</v>
      </c>
      <c r="E158" s="73">
        <f>C158-D158</f>
        <v>8</v>
      </c>
      <c r="F158" s="73">
        <v>0</v>
      </c>
      <c r="G158" s="84">
        <f>E158*0.999</f>
        <v>7.992</v>
      </c>
      <c r="H158" s="73">
        <v>0</v>
      </c>
      <c r="I158" s="73">
        <f>E158*8.99</f>
        <v>71.92</v>
      </c>
      <c r="J158" s="73">
        <f>E158*0.06%</f>
        <v>4.7999999999999996E-3</v>
      </c>
      <c r="K158" s="73">
        <v>0</v>
      </c>
      <c r="L158" s="73">
        <v>0</v>
      </c>
      <c r="M158" s="73">
        <v>0</v>
      </c>
      <c r="N158" s="73">
        <v>0</v>
      </c>
      <c r="O158" s="73">
        <v>0</v>
      </c>
      <c r="P158" s="73">
        <v>0</v>
      </c>
      <c r="Q158" s="73">
        <v>180</v>
      </c>
      <c r="R158" s="73">
        <f>C158/1000*180</f>
        <v>1.44</v>
      </c>
    </row>
    <row r="159" spans="1:18" ht="18.75" x14ac:dyDescent="0.3">
      <c r="A159" s="36"/>
      <c r="B159" s="1" t="s">
        <v>17</v>
      </c>
      <c r="C159" s="4">
        <v>5</v>
      </c>
      <c r="D159" s="4">
        <v>0</v>
      </c>
      <c r="E159" s="4">
        <f>C159-D159</f>
        <v>5</v>
      </c>
      <c r="F159" s="4">
        <v>0</v>
      </c>
      <c r="G159" s="6">
        <f>E159*0.999</f>
        <v>4.9950000000000001</v>
      </c>
      <c r="H159" s="4">
        <v>0</v>
      </c>
      <c r="I159" s="4">
        <f>E159*8.99</f>
        <v>44.95</v>
      </c>
      <c r="J159" s="4">
        <f>E159*0.06%</f>
        <v>2.9999999999999996E-3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150</v>
      </c>
      <c r="R159" s="4">
        <f>C159/1000*150</f>
        <v>0.75</v>
      </c>
    </row>
    <row r="160" spans="1:18" ht="18.75" x14ac:dyDescent="0.3">
      <c r="A160" s="36"/>
      <c r="B160" s="32" t="s">
        <v>69</v>
      </c>
      <c r="C160" s="7">
        <f t="shared" ref="C160:R160" si="22">SUM(C155:C159)</f>
        <v>97</v>
      </c>
      <c r="D160" s="7">
        <f t="shared" si="22"/>
        <v>18.200000000000003</v>
      </c>
      <c r="E160" s="7">
        <f t="shared" si="22"/>
        <v>78.8</v>
      </c>
      <c r="F160" s="7">
        <f t="shared" si="22"/>
        <v>1.0472000000000001</v>
      </c>
      <c r="G160" s="7">
        <f t="shared" si="22"/>
        <v>13.1158</v>
      </c>
      <c r="H160" s="7">
        <f t="shared" si="22"/>
        <v>7.0741999999999994</v>
      </c>
      <c r="I160" s="7">
        <f t="shared" si="22"/>
        <v>149.798</v>
      </c>
      <c r="J160" s="7">
        <f t="shared" si="22"/>
        <v>5.0919999999999993E-2</v>
      </c>
      <c r="K160" s="7">
        <f t="shared" si="22"/>
        <v>7.5600000000000005</v>
      </c>
      <c r="L160" s="7">
        <f t="shared" si="22"/>
        <v>0</v>
      </c>
      <c r="M160" s="7">
        <f t="shared" si="22"/>
        <v>21.811999999999998</v>
      </c>
      <c r="N160" s="7">
        <f t="shared" si="22"/>
        <v>34.131999999999998</v>
      </c>
      <c r="O160" s="7">
        <f t="shared" si="22"/>
        <v>18.27</v>
      </c>
      <c r="P160" s="7">
        <f t="shared" si="22"/>
        <v>0.65939999999999999</v>
      </c>
      <c r="Q160" s="7"/>
      <c r="R160" s="7">
        <f t="shared" si="22"/>
        <v>7.145999999999999</v>
      </c>
    </row>
    <row r="161" spans="1:18" s="93" customFormat="1" ht="21" x14ac:dyDescent="0.35">
      <c r="A161" s="92"/>
      <c r="B161" s="157" t="s">
        <v>109</v>
      </c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8"/>
    </row>
    <row r="162" spans="1:18" ht="18.75" x14ac:dyDescent="0.3">
      <c r="A162" s="36"/>
      <c r="B162" s="33" t="s">
        <v>69</v>
      </c>
      <c r="C162" s="7">
        <v>30</v>
      </c>
      <c r="D162" s="7">
        <v>0</v>
      </c>
      <c r="E162" s="7">
        <v>30</v>
      </c>
      <c r="F162" s="7">
        <f>E162*7.9%</f>
        <v>2.37</v>
      </c>
      <c r="G162" s="7">
        <f>E162*1%</f>
        <v>0.3</v>
      </c>
      <c r="H162" s="7">
        <f>E162*48.1%</f>
        <v>14.430000000000001</v>
      </c>
      <c r="I162" s="7">
        <f>E162*239%</f>
        <v>71.7</v>
      </c>
      <c r="J162" s="7">
        <f>E162*0.16%</f>
        <v>4.8000000000000001E-2</v>
      </c>
      <c r="K162" s="7">
        <v>0</v>
      </c>
      <c r="L162" s="7">
        <v>0</v>
      </c>
      <c r="M162" s="7">
        <f>E162*23%</f>
        <v>6.9</v>
      </c>
      <c r="N162" s="7">
        <f>E162*87%</f>
        <v>26.1</v>
      </c>
      <c r="O162" s="7">
        <f>E162*33%</f>
        <v>9.9</v>
      </c>
      <c r="P162" s="7">
        <f>E162*2%</f>
        <v>0.6</v>
      </c>
      <c r="Q162" s="7">
        <v>50</v>
      </c>
      <c r="R162" s="7">
        <f>C162/1000*50</f>
        <v>1.5</v>
      </c>
    </row>
    <row r="163" spans="1:18" s="91" customFormat="1" ht="21" x14ac:dyDescent="0.35">
      <c r="A163" s="90"/>
      <c r="B163" s="221" t="s">
        <v>110</v>
      </c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3"/>
    </row>
    <row r="164" spans="1:18" ht="18.75" x14ac:dyDescent="0.3">
      <c r="A164" s="36"/>
      <c r="B164" s="4" t="s">
        <v>52</v>
      </c>
      <c r="C164" s="4">
        <v>1</v>
      </c>
      <c r="D164" s="4">
        <v>0</v>
      </c>
      <c r="E164" s="4">
        <f>C164-D164</f>
        <v>1</v>
      </c>
      <c r="F164" s="4">
        <f>E164*21.74%</f>
        <v>0.21739999999999998</v>
      </c>
      <c r="G164" s="4">
        <f>E164*7.61%</f>
        <v>7.6100000000000001E-2</v>
      </c>
      <c r="H164" s="4">
        <f>E164*2.86%</f>
        <v>2.86E-2</v>
      </c>
      <c r="I164" s="4">
        <f>E164*9.18%</f>
        <v>9.1799999999999993E-2</v>
      </c>
      <c r="J164" s="4">
        <f>E164*4.7%</f>
        <v>4.7E-2</v>
      </c>
      <c r="K164" s="4">
        <f>E164*11%</f>
        <v>0.11</v>
      </c>
      <c r="L164" s="4">
        <f>E164*5.6%</f>
        <v>5.5999999999999994E-2</v>
      </c>
      <c r="M164" s="4">
        <f>E164*50%</f>
        <v>0.5</v>
      </c>
      <c r="N164" s="4">
        <f>E164*10%</f>
        <v>0.1</v>
      </c>
      <c r="O164" s="4">
        <f>E164*110%</f>
        <v>1.1000000000000001</v>
      </c>
      <c r="P164" s="4">
        <f>E164*456%</f>
        <v>4.5599999999999996</v>
      </c>
      <c r="Q164" s="4">
        <v>950</v>
      </c>
      <c r="R164" s="4">
        <f>C164/1000*950</f>
        <v>0.95000000000000007</v>
      </c>
    </row>
    <row r="165" spans="1:18" ht="18.75" x14ac:dyDescent="0.3">
      <c r="A165" s="40"/>
      <c r="B165" s="4" t="s">
        <v>68</v>
      </c>
      <c r="C165" s="4">
        <v>15</v>
      </c>
      <c r="D165" s="4">
        <v>0</v>
      </c>
      <c r="E165" s="4">
        <v>15</v>
      </c>
      <c r="F165" s="4">
        <v>0</v>
      </c>
      <c r="G165" s="4">
        <v>0</v>
      </c>
      <c r="H165" s="4">
        <f>E165*99.8%</f>
        <v>14.97</v>
      </c>
      <c r="I165" s="4">
        <f>E165*379%</f>
        <v>56.85</v>
      </c>
      <c r="J165" s="4">
        <v>0</v>
      </c>
      <c r="K165" s="4">
        <v>0</v>
      </c>
      <c r="L165" s="4">
        <v>0</v>
      </c>
      <c r="M165" s="4">
        <f>E165*2%</f>
        <v>0.3</v>
      </c>
      <c r="N165" s="4">
        <v>0</v>
      </c>
      <c r="O165" s="4">
        <v>0</v>
      </c>
      <c r="P165" s="4">
        <f>E165*0.3%</f>
        <v>4.4999999999999998E-2</v>
      </c>
      <c r="Q165" s="4">
        <v>60</v>
      </c>
      <c r="R165" s="4">
        <f>C165/1000*60</f>
        <v>0.89999999999999991</v>
      </c>
    </row>
    <row r="166" spans="1:18" ht="18.75" x14ac:dyDescent="0.3">
      <c r="A166" s="40"/>
      <c r="B166" s="33" t="s">
        <v>69</v>
      </c>
      <c r="C166" s="7">
        <f>SUM(C164:C165)</f>
        <v>16</v>
      </c>
      <c r="D166" s="7">
        <f>SUM(D165:D165)</f>
        <v>0</v>
      </c>
      <c r="E166" s="7">
        <v>150</v>
      </c>
      <c r="F166" s="7">
        <f t="shared" ref="F166:P166" si="23">SUM(F165:F165)</f>
        <v>0</v>
      </c>
      <c r="G166" s="7">
        <f t="shared" si="23"/>
        <v>0</v>
      </c>
      <c r="H166" s="7">
        <f t="shared" si="23"/>
        <v>14.97</v>
      </c>
      <c r="I166" s="7">
        <f t="shared" si="23"/>
        <v>56.85</v>
      </c>
      <c r="J166" s="7">
        <f t="shared" si="23"/>
        <v>0</v>
      </c>
      <c r="K166" s="7">
        <f t="shared" si="23"/>
        <v>0</v>
      </c>
      <c r="L166" s="7">
        <f t="shared" si="23"/>
        <v>0</v>
      </c>
      <c r="M166" s="7">
        <f t="shared" si="23"/>
        <v>0.3</v>
      </c>
      <c r="N166" s="7">
        <f t="shared" si="23"/>
        <v>0</v>
      </c>
      <c r="O166" s="7">
        <f t="shared" si="23"/>
        <v>0</v>
      </c>
      <c r="P166" s="7">
        <f t="shared" si="23"/>
        <v>4.4999999999999998E-2</v>
      </c>
      <c r="Q166" s="7"/>
      <c r="R166" s="7">
        <f>SUM(R164:R165)</f>
        <v>1.85</v>
      </c>
    </row>
    <row r="167" spans="1:18" ht="18.75" x14ac:dyDescent="0.3">
      <c r="A167" s="36"/>
      <c r="B167" s="167" t="s">
        <v>117</v>
      </c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8"/>
    </row>
    <row r="168" spans="1:18" ht="18.75" x14ac:dyDescent="0.3">
      <c r="A168" s="36"/>
      <c r="B168" s="33" t="s">
        <v>69</v>
      </c>
      <c r="C168" s="7">
        <v>40</v>
      </c>
      <c r="D168" s="7">
        <v>0</v>
      </c>
      <c r="E168" s="7">
        <f>C168-D168</f>
        <v>40</v>
      </c>
      <c r="F168" s="4">
        <f>E168*7.5%</f>
        <v>3</v>
      </c>
      <c r="G168" s="4">
        <f>E168*11.8%</f>
        <v>4.7200000000000006</v>
      </c>
      <c r="H168" s="4">
        <f>E168*74.4%</f>
        <v>29.760000000000005</v>
      </c>
      <c r="I168" s="4">
        <f>E168*436%</f>
        <v>174.4</v>
      </c>
      <c r="J168" s="4">
        <f>E168*0.08%</f>
        <v>3.2000000000000001E-2</v>
      </c>
      <c r="K168" s="4">
        <f>E168*0%</f>
        <v>0</v>
      </c>
      <c r="L168" s="4">
        <f>E168*0%</f>
        <v>0</v>
      </c>
      <c r="M168" s="4">
        <f>E168*29%</f>
        <v>11.6</v>
      </c>
      <c r="N168" s="4">
        <f>E168*90%</f>
        <v>36</v>
      </c>
      <c r="O168" s="4">
        <f>E168*20%</f>
        <v>8</v>
      </c>
      <c r="P168" s="4">
        <f>E168*2.1%</f>
        <v>0.84000000000000008</v>
      </c>
      <c r="Q168" s="4">
        <v>160</v>
      </c>
      <c r="R168" s="7">
        <f>C168/1000*160</f>
        <v>6.4</v>
      </c>
    </row>
    <row r="169" spans="1:18" ht="24.75" customHeight="1" x14ac:dyDescent="0.35">
      <c r="A169" s="36"/>
      <c r="B169" s="157" t="s">
        <v>114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5"/>
    </row>
    <row r="170" spans="1:18" ht="18.75" x14ac:dyDescent="0.3">
      <c r="A170" s="36"/>
      <c r="B170" s="33" t="s">
        <v>69</v>
      </c>
      <c r="C170" s="7">
        <v>120</v>
      </c>
      <c r="D170" s="7">
        <v>0</v>
      </c>
      <c r="E170" s="7">
        <v>125</v>
      </c>
      <c r="F170" s="7">
        <f>E170*0.4%</f>
        <v>0.5</v>
      </c>
      <c r="G170" s="7">
        <f>E170*0.4%</f>
        <v>0.5</v>
      </c>
      <c r="H170" s="7">
        <f>E170*9.8%</f>
        <v>12.25</v>
      </c>
      <c r="I170" s="7">
        <f>E170*45%</f>
        <v>56.25</v>
      </c>
      <c r="J170" s="7">
        <f>E170*0.03%</f>
        <v>3.7499999999999999E-2</v>
      </c>
      <c r="K170" s="7">
        <f>E170*13%</f>
        <v>16.25</v>
      </c>
      <c r="L170" s="7">
        <v>0</v>
      </c>
      <c r="M170" s="7">
        <f>E170*16%</f>
        <v>20</v>
      </c>
      <c r="N170" s="7">
        <f>E170*11%</f>
        <v>13.75</v>
      </c>
      <c r="O170" s="7">
        <f>E170*9%</f>
        <v>11.25</v>
      </c>
      <c r="P170" s="7">
        <f>E170*2.2%</f>
        <v>2.7500000000000004</v>
      </c>
      <c r="Q170" s="7">
        <v>100</v>
      </c>
      <c r="R170" s="7">
        <f>C170/1000*100</f>
        <v>12</v>
      </c>
    </row>
    <row r="171" spans="1:18" ht="21" x14ac:dyDescent="0.35">
      <c r="A171" s="36"/>
      <c r="B171" s="162" t="s">
        <v>107</v>
      </c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4"/>
    </row>
    <row r="172" spans="1:18" ht="18.75" x14ac:dyDescent="0.3">
      <c r="A172" s="36"/>
      <c r="B172" s="33" t="s">
        <v>69</v>
      </c>
      <c r="C172" s="27">
        <v>3</v>
      </c>
      <c r="D172" s="7">
        <v>0</v>
      </c>
      <c r="E172" s="27">
        <f>C172-D172</f>
        <v>3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20</v>
      </c>
      <c r="R172" s="27">
        <f>C172/1000*20</f>
        <v>0.06</v>
      </c>
    </row>
    <row r="173" spans="1:18" ht="23.25" x14ac:dyDescent="0.35">
      <c r="A173" s="40"/>
      <c r="B173" s="25" t="s">
        <v>69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>
        <f>R172+R170+R168+R166+R162+R160+R153</f>
        <v>61.006</v>
      </c>
    </row>
    <row r="174" spans="1:18" ht="47.25" customHeight="1" x14ac:dyDescent="0.3">
      <c r="A174" s="41"/>
    </row>
    <row r="175" spans="1:18" ht="47.25" customHeight="1" x14ac:dyDescent="0.3">
      <c r="A175" s="41"/>
    </row>
    <row r="176" spans="1:18" ht="18.75" x14ac:dyDescent="0.25">
      <c r="A176" s="128"/>
      <c r="B176" s="139" t="s">
        <v>0</v>
      </c>
      <c r="C176" s="130" t="s">
        <v>98</v>
      </c>
      <c r="D176" s="168" t="s">
        <v>20</v>
      </c>
      <c r="E176" s="168" t="s">
        <v>19</v>
      </c>
      <c r="F176" s="136" t="s">
        <v>1</v>
      </c>
      <c r="G176" s="136" t="s">
        <v>2</v>
      </c>
      <c r="H176" s="125" t="s">
        <v>3</v>
      </c>
      <c r="I176" s="136" t="s">
        <v>4</v>
      </c>
      <c r="J176" s="153" t="s">
        <v>5</v>
      </c>
      <c r="K176" s="153"/>
      <c r="L176" s="153"/>
      <c r="M176" s="153" t="s">
        <v>6</v>
      </c>
      <c r="N176" s="153"/>
      <c r="O176" s="153"/>
      <c r="P176" s="153"/>
      <c r="Q176" s="136" t="s">
        <v>66</v>
      </c>
      <c r="R176" s="171" t="s">
        <v>121</v>
      </c>
    </row>
    <row r="177" spans="1:18" x14ac:dyDescent="0.25">
      <c r="A177" s="129"/>
      <c r="B177" s="139"/>
      <c r="C177" s="131"/>
      <c r="D177" s="169"/>
      <c r="E177" s="169"/>
      <c r="F177" s="137"/>
      <c r="G177" s="137"/>
      <c r="H177" s="126"/>
      <c r="I177" s="137"/>
      <c r="J177" s="136" t="s">
        <v>7</v>
      </c>
      <c r="K177" s="168" t="s">
        <v>8</v>
      </c>
      <c r="L177" s="136" t="s">
        <v>9</v>
      </c>
      <c r="M177" s="136" t="s">
        <v>10</v>
      </c>
      <c r="N177" s="136" t="s">
        <v>11</v>
      </c>
      <c r="O177" s="136" t="s">
        <v>12</v>
      </c>
      <c r="P177" s="136" t="s">
        <v>13</v>
      </c>
      <c r="Q177" s="137"/>
      <c r="R177" s="172"/>
    </row>
    <row r="178" spans="1:18" ht="18.75" x14ac:dyDescent="0.3">
      <c r="A178" s="51"/>
      <c r="B178" s="49" t="s">
        <v>84</v>
      </c>
      <c r="C178" s="132"/>
      <c r="D178" s="170"/>
      <c r="E178" s="170"/>
      <c r="F178" s="138"/>
      <c r="G178" s="138"/>
      <c r="H178" s="127"/>
      <c r="I178" s="138"/>
      <c r="J178" s="138"/>
      <c r="K178" s="170"/>
      <c r="L178" s="138"/>
      <c r="M178" s="138"/>
      <c r="N178" s="138"/>
      <c r="O178" s="138"/>
      <c r="P178" s="138"/>
      <c r="Q178" s="138"/>
      <c r="R178" s="173"/>
    </row>
    <row r="179" spans="1:18" ht="21" x14ac:dyDescent="0.35">
      <c r="A179" s="36"/>
      <c r="B179" s="205" t="s">
        <v>123</v>
      </c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2"/>
    </row>
    <row r="180" spans="1:18" ht="18.75" x14ac:dyDescent="0.3">
      <c r="A180" s="36"/>
      <c r="B180" s="3" t="s">
        <v>79</v>
      </c>
      <c r="C180" s="4">
        <v>50</v>
      </c>
      <c r="D180" s="4">
        <v>0</v>
      </c>
      <c r="E180" s="4">
        <f>C180-D180</f>
        <v>50</v>
      </c>
      <c r="F180" s="4">
        <f>E180*12.6%</f>
        <v>6.3</v>
      </c>
      <c r="G180" s="4">
        <f>E180*3.3%</f>
        <v>1.6500000000000001</v>
      </c>
      <c r="H180" s="4">
        <f>E180*62.1%</f>
        <v>31.05</v>
      </c>
      <c r="I180" s="4">
        <f>E180*335%</f>
        <v>167.5</v>
      </c>
      <c r="J180" s="4">
        <f>E180*0.43%</f>
        <v>0.215</v>
      </c>
      <c r="K180" s="4">
        <v>0</v>
      </c>
      <c r="L180" s="4">
        <v>0</v>
      </c>
      <c r="M180" s="4">
        <f>E180*20%</f>
        <v>10</v>
      </c>
      <c r="N180" s="4">
        <f>E180*298%</f>
        <v>149</v>
      </c>
      <c r="O180" s="4">
        <f>E180*200%</f>
        <v>100</v>
      </c>
      <c r="P180" s="4">
        <f>E180*6.7%</f>
        <v>3.35</v>
      </c>
      <c r="Q180" s="4">
        <v>65</v>
      </c>
      <c r="R180" s="24">
        <f>C180/1000*65</f>
        <v>3.25</v>
      </c>
    </row>
    <row r="181" spans="1:18" ht="18.75" x14ac:dyDescent="0.3">
      <c r="A181" s="36"/>
      <c r="B181" s="3" t="s">
        <v>22</v>
      </c>
      <c r="C181" s="4">
        <v>10</v>
      </c>
      <c r="D181" s="4">
        <v>0</v>
      </c>
      <c r="E181" s="4">
        <f>C181-D181</f>
        <v>10</v>
      </c>
      <c r="F181" s="4">
        <f>E181*0.5%</f>
        <v>0.05</v>
      </c>
      <c r="G181" s="4">
        <f>E181*82.5%</f>
        <v>8.25</v>
      </c>
      <c r="H181" s="4">
        <f>E181*0.8%</f>
        <v>0.08</v>
      </c>
      <c r="I181" s="4">
        <f>E181*748%</f>
        <v>74.800000000000011</v>
      </c>
      <c r="J181" s="4">
        <v>0</v>
      </c>
      <c r="K181" s="4">
        <v>0</v>
      </c>
      <c r="L181" s="4">
        <f>E181*0.59%</f>
        <v>5.8999999999999997E-2</v>
      </c>
      <c r="M181" s="4">
        <f>E181*12%</f>
        <v>1.2</v>
      </c>
      <c r="N181" s="4">
        <f>E181*19%</f>
        <v>1.9</v>
      </c>
      <c r="O181" s="4">
        <f>E181*0.4%</f>
        <v>0.04</v>
      </c>
      <c r="P181" s="4">
        <f>E181*0.2%</f>
        <v>0.02</v>
      </c>
      <c r="Q181" s="4">
        <v>480</v>
      </c>
      <c r="R181" s="24">
        <f>C181/1000*480</f>
        <v>4.8</v>
      </c>
    </row>
    <row r="182" spans="1:18" ht="18.75" x14ac:dyDescent="0.3">
      <c r="A182" s="36"/>
      <c r="B182" s="26" t="s">
        <v>69</v>
      </c>
      <c r="C182" s="7">
        <f>C181+C180</f>
        <v>60</v>
      </c>
      <c r="D182" s="7">
        <f t="shared" ref="D182:R182" si="24">SUM(D180:D181)</f>
        <v>0</v>
      </c>
      <c r="E182" s="7">
        <v>150</v>
      </c>
      <c r="F182" s="7">
        <f t="shared" si="24"/>
        <v>6.35</v>
      </c>
      <c r="G182" s="7">
        <f t="shared" si="24"/>
        <v>9.9</v>
      </c>
      <c r="H182" s="7">
        <f t="shared" si="24"/>
        <v>31.13</v>
      </c>
      <c r="I182" s="7">
        <f t="shared" si="24"/>
        <v>242.3</v>
      </c>
      <c r="J182" s="7">
        <f t="shared" si="24"/>
        <v>0.215</v>
      </c>
      <c r="K182" s="7">
        <f t="shared" si="24"/>
        <v>0</v>
      </c>
      <c r="L182" s="7">
        <f t="shared" si="24"/>
        <v>5.8999999999999997E-2</v>
      </c>
      <c r="M182" s="7">
        <f t="shared" si="24"/>
        <v>11.2</v>
      </c>
      <c r="N182" s="7">
        <f t="shared" si="24"/>
        <v>150.9</v>
      </c>
      <c r="O182" s="7">
        <f t="shared" si="24"/>
        <v>100.04</v>
      </c>
      <c r="P182" s="7">
        <f t="shared" si="24"/>
        <v>3.37</v>
      </c>
      <c r="Q182" s="7"/>
      <c r="R182" s="7">
        <f t="shared" si="24"/>
        <v>8.0500000000000007</v>
      </c>
    </row>
    <row r="183" spans="1:18" ht="21" x14ac:dyDescent="0.35">
      <c r="A183" s="36"/>
      <c r="B183" s="205" t="s">
        <v>113</v>
      </c>
      <c r="C183" s="151"/>
      <c r="D183" s="151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2"/>
    </row>
    <row r="184" spans="1:18" ht="18.75" x14ac:dyDescent="0.3">
      <c r="A184" s="36"/>
      <c r="B184" s="3" t="s">
        <v>74</v>
      </c>
      <c r="C184" s="4">
        <v>90</v>
      </c>
      <c r="D184" s="4">
        <f>C184*25%</f>
        <v>22.5</v>
      </c>
      <c r="E184" s="4">
        <f>C184-D184</f>
        <v>67.5</v>
      </c>
      <c r="F184" s="4">
        <f>E184*18.2%</f>
        <v>12.285</v>
      </c>
      <c r="G184" s="4">
        <f>E184*18.4%</f>
        <v>12.42</v>
      </c>
      <c r="H184" s="4">
        <f>E184*0.7%</f>
        <v>0.47249999999999998</v>
      </c>
      <c r="I184" s="4">
        <f>E184*241%</f>
        <v>162.67500000000001</v>
      </c>
      <c r="J184" s="4">
        <f>E184*0.07%</f>
        <v>4.7250000000000007E-2</v>
      </c>
      <c r="K184" s="4">
        <v>0</v>
      </c>
      <c r="L184" s="4">
        <f>E184*0.07%</f>
        <v>4.7250000000000007E-2</v>
      </c>
      <c r="M184" s="4">
        <f>E184*16%</f>
        <v>10.8</v>
      </c>
      <c r="N184" s="4">
        <f>E184*165%</f>
        <v>111.375</v>
      </c>
      <c r="O184" s="4">
        <f>E184*18%</f>
        <v>12.15</v>
      </c>
      <c r="P184" s="4">
        <f>E184*1.6%</f>
        <v>1.08</v>
      </c>
      <c r="Q184" s="4">
        <v>270</v>
      </c>
      <c r="R184" s="4">
        <f>C184/1000*270</f>
        <v>24.3</v>
      </c>
    </row>
    <row r="185" spans="1:18" ht="18.75" x14ac:dyDescent="0.3">
      <c r="A185" s="36"/>
      <c r="B185" s="33" t="s">
        <v>69</v>
      </c>
      <c r="C185" s="7">
        <f>SUM(C184:C184)</f>
        <v>90</v>
      </c>
      <c r="D185" s="7">
        <f>SUM(D184:D184)</f>
        <v>22.5</v>
      </c>
      <c r="E185" s="7">
        <f>C185-D185</f>
        <v>67.5</v>
      </c>
      <c r="F185" s="7">
        <f t="shared" ref="F185:R185" si="25">SUM(F184:F184)</f>
        <v>12.285</v>
      </c>
      <c r="G185" s="7">
        <f t="shared" si="25"/>
        <v>12.42</v>
      </c>
      <c r="H185" s="7">
        <f t="shared" si="25"/>
        <v>0.47249999999999998</v>
      </c>
      <c r="I185" s="7">
        <f t="shared" si="25"/>
        <v>162.67500000000001</v>
      </c>
      <c r="J185" s="7">
        <f t="shared" si="25"/>
        <v>4.7250000000000007E-2</v>
      </c>
      <c r="K185" s="7">
        <f t="shared" si="25"/>
        <v>0</v>
      </c>
      <c r="L185" s="7">
        <f t="shared" si="25"/>
        <v>4.7250000000000007E-2</v>
      </c>
      <c r="M185" s="7">
        <f t="shared" si="25"/>
        <v>10.8</v>
      </c>
      <c r="N185" s="7">
        <f t="shared" si="25"/>
        <v>111.375</v>
      </c>
      <c r="O185" s="7">
        <f t="shared" si="25"/>
        <v>12.15</v>
      </c>
      <c r="P185" s="7">
        <f t="shared" si="25"/>
        <v>1.08</v>
      </c>
      <c r="Q185" s="7"/>
      <c r="R185" s="7">
        <f t="shared" si="25"/>
        <v>24.3</v>
      </c>
    </row>
    <row r="186" spans="1:18" ht="21" x14ac:dyDescent="0.35">
      <c r="A186" s="36"/>
      <c r="B186" s="157" t="s">
        <v>109</v>
      </c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5"/>
    </row>
    <row r="187" spans="1:18" ht="18.75" x14ac:dyDescent="0.3">
      <c r="A187" s="36"/>
      <c r="B187" s="33" t="s">
        <v>69</v>
      </c>
      <c r="C187" s="7">
        <v>30</v>
      </c>
      <c r="D187" s="7">
        <v>0</v>
      </c>
      <c r="E187" s="7">
        <v>30</v>
      </c>
      <c r="F187" s="7">
        <f>E187*7.9%</f>
        <v>2.37</v>
      </c>
      <c r="G187" s="7">
        <f>E187*1%</f>
        <v>0.3</v>
      </c>
      <c r="H187" s="7">
        <f>E187*48.1%</f>
        <v>14.430000000000001</v>
      </c>
      <c r="I187" s="7">
        <f>E187*239%</f>
        <v>71.7</v>
      </c>
      <c r="J187" s="7">
        <f>E187*0.16%</f>
        <v>4.8000000000000001E-2</v>
      </c>
      <c r="K187" s="7">
        <v>0</v>
      </c>
      <c r="L187" s="7">
        <v>0</v>
      </c>
      <c r="M187" s="7">
        <f>E187*23%</f>
        <v>6.9</v>
      </c>
      <c r="N187" s="7">
        <f>E187*87%</f>
        <v>26.1</v>
      </c>
      <c r="O187" s="7">
        <f>E187*33%</f>
        <v>9.9</v>
      </c>
      <c r="P187" s="7">
        <f>E187*2%</f>
        <v>0.6</v>
      </c>
      <c r="Q187" s="7">
        <v>50</v>
      </c>
      <c r="R187" s="7">
        <f>C187/1000*50</f>
        <v>1.5</v>
      </c>
    </row>
    <row r="188" spans="1:18" ht="21" x14ac:dyDescent="0.35">
      <c r="A188" s="26"/>
      <c r="B188" s="205" t="s">
        <v>131</v>
      </c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12"/>
    </row>
    <row r="189" spans="1:18" ht="24.75" customHeight="1" x14ac:dyDescent="0.3">
      <c r="A189" s="26"/>
      <c r="B189" s="3" t="s">
        <v>89</v>
      </c>
      <c r="C189" s="4">
        <v>60</v>
      </c>
      <c r="D189" s="4">
        <v>0</v>
      </c>
      <c r="E189" s="4">
        <f>C189-D189</f>
        <v>60</v>
      </c>
      <c r="F189" s="4">
        <f>E189*2.8%</f>
        <v>1.6799999999999997</v>
      </c>
      <c r="G189" s="4">
        <f>E189*3.2%</f>
        <v>1.92</v>
      </c>
      <c r="H189" s="4">
        <f>E189*4.7%</f>
        <v>2.82</v>
      </c>
      <c r="I189" s="4">
        <f>E189*58%</f>
        <v>34.799999999999997</v>
      </c>
      <c r="J189" s="4">
        <f>E189*0.04</f>
        <v>2.4</v>
      </c>
      <c r="K189" s="4">
        <f>E189*1.3%</f>
        <v>0.78</v>
      </c>
      <c r="L189" s="4">
        <f>E189*0.01%</f>
        <v>6.0000000000000001E-3</v>
      </c>
      <c r="M189" s="4">
        <f>E189*120%</f>
        <v>72</v>
      </c>
      <c r="N189" s="4">
        <f>E189*90%</f>
        <v>54</v>
      </c>
      <c r="O189" s="4">
        <f>E189*14%</f>
        <v>8.4</v>
      </c>
      <c r="P189" s="4">
        <f>E189*0.06%</f>
        <v>3.5999999999999997E-2</v>
      </c>
      <c r="Q189" s="4">
        <v>110</v>
      </c>
      <c r="R189" s="31">
        <f>C189/1000*110</f>
        <v>6.6</v>
      </c>
    </row>
    <row r="190" spans="1:18" ht="18.75" x14ac:dyDescent="0.3">
      <c r="A190" s="26"/>
      <c r="B190" s="4" t="s">
        <v>68</v>
      </c>
      <c r="C190" s="4">
        <v>15</v>
      </c>
      <c r="D190" s="4">
        <v>0</v>
      </c>
      <c r="E190" s="4">
        <f>C190-D190</f>
        <v>15</v>
      </c>
      <c r="F190" s="4">
        <v>0</v>
      </c>
      <c r="G190" s="4">
        <v>0</v>
      </c>
      <c r="H190" s="4">
        <f>E190*99.8%</f>
        <v>14.97</v>
      </c>
      <c r="I190" s="4">
        <f>E190*379%</f>
        <v>56.85</v>
      </c>
      <c r="J190" s="4">
        <v>0</v>
      </c>
      <c r="K190" s="4">
        <v>0</v>
      </c>
      <c r="L190" s="4">
        <v>0</v>
      </c>
      <c r="M190" s="4">
        <f>E190*2%</f>
        <v>0.3</v>
      </c>
      <c r="N190" s="4">
        <v>0</v>
      </c>
      <c r="O190" s="4">
        <v>0</v>
      </c>
      <c r="P190" s="4">
        <f>E190*0.3%</f>
        <v>4.4999999999999998E-2</v>
      </c>
      <c r="Q190" s="4">
        <v>60</v>
      </c>
      <c r="R190" s="4">
        <f>C190/1000*60</f>
        <v>0.89999999999999991</v>
      </c>
    </row>
    <row r="191" spans="1:18" ht="21" customHeight="1" x14ac:dyDescent="0.3">
      <c r="A191" s="26"/>
      <c r="B191" s="31" t="s">
        <v>90</v>
      </c>
      <c r="C191" s="29">
        <v>1</v>
      </c>
      <c r="D191" s="29">
        <v>0</v>
      </c>
      <c r="E191" s="29">
        <f>C191-D191</f>
        <v>1</v>
      </c>
      <c r="F191" s="29">
        <f>E191*24.2%</f>
        <v>0.24199999999999999</v>
      </c>
      <c r="G191" s="29">
        <f>E191*17.5%</f>
        <v>0.17499999999999999</v>
      </c>
      <c r="H191" s="29">
        <f>E191*27.9%</f>
        <v>0.27899999999999997</v>
      </c>
      <c r="I191" s="29">
        <f>E191*380%</f>
        <v>3.8</v>
      </c>
      <c r="J191" s="29">
        <f>E191*0.1%</f>
        <v>1E-3</v>
      </c>
      <c r="K191" s="29">
        <v>0</v>
      </c>
      <c r="L191" s="29">
        <f>E191*0.02%</f>
        <v>2.0000000000000001E-4</v>
      </c>
      <c r="M191" s="29">
        <f>E191*55%</f>
        <v>0.55000000000000004</v>
      </c>
      <c r="N191" s="29">
        <f>E191*655%</f>
        <v>6.55</v>
      </c>
      <c r="O191" s="29">
        <f>E191*191%</f>
        <v>1.91</v>
      </c>
      <c r="P191" s="29">
        <f>E191*14.8%</f>
        <v>0.14800000000000002</v>
      </c>
      <c r="Q191" s="29">
        <v>850</v>
      </c>
      <c r="R191" s="29">
        <f>C191/1000*850</f>
        <v>0.85</v>
      </c>
    </row>
    <row r="192" spans="1:18" ht="18.75" x14ac:dyDescent="0.3">
      <c r="A192" s="36"/>
      <c r="B192" s="33" t="s">
        <v>69</v>
      </c>
      <c r="C192" s="7">
        <v>115</v>
      </c>
      <c r="D192" s="7">
        <f>SUM(D188:D191)</f>
        <v>0</v>
      </c>
      <c r="E192" s="7">
        <v>150</v>
      </c>
      <c r="F192" s="7">
        <f t="shared" ref="F192:P192" si="26">SUM(F188:F191)</f>
        <v>1.9219999999999997</v>
      </c>
      <c r="G192" s="7">
        <f t="shared" si="26"/>
        <v>2.0949999999999998</v>
      </c>
      <c r="H192" s="7">
        <f t="shared" si="26"/>
        <v>18.068999999999999</v>
      </c>
      <c r="I192" s="7">
        <f t="shared" si="26"/>
        <v>95.45</v>
      </c>
      <c r="J192" s="7">
        <f t="shared" si="26"/>
        <v>2.4009999999999998</v>
      </c>
      <c r="K192" s="7">
        <f t="shared" si="26"/>
        <v>0.78</v>
      </c>
      <c r="L192" s="7">
        <f t="shared" si="26"/>
        <v>6.1999999999999998E-3</v>
      </c>
      <c r="M192" s="7">
        <f t="shared" si="26"/>
        <v>72.849999999999994</v>
      </c>
      <c r="N192" s="7">
        <f t="shared" si="26"/>
        <v>60.55</v>
      </c>
      <c r="O192" s="7">
        <f t="shared" si="26"/>
        <v>10.31</v>
      </c>
      <c r="P192" s="7">
        <f t="shared" si="26"/>
        <v>0.22900000000000001</v>
      </c>
      <c r="Q192" s="7"/>
      <c r="R192" s="7">
        <f>SUM(R189:R191)</f>
        <v>8.35</v>
      </c>
    </row>
    <row r="193" spans="1:18" ht="23.25" customHeight="1" x14ac:dyDescent="0.35">
      <c r="A193" s="36"/>
      <c r="B193" s="162" t="s">
        <v>126</v>
      </c>
      <c r="C193" s="239"/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40"/>
    </row>
    <row r="194" spans="1:18" ht="18.75" x14ac:dyDescent="0.3">
      <c r="A194" s="36"/>
      <c r="B194" s="33" t="s">
        <v>69</v>
      </c>
      <c r="C194" s="7">
        <v>125</v>
      </c>
      <c r="D194" s="7">
        <v>0</v>
      </c>
      <c r="E194" s="7">
        <f>C194-D194</f>
        <v>125</v>
      </c>
      <c r="F194" s="7">
        <f>E194*1.5%</f>
        <v>1.875</v>
      </c>
      <c r="G194" s="7">
        <f>E194*0.5%</f>
        <v>0.625</v>
      </c>
      <c r="H194" s="7">
        <f>E194*21%</f>
        <v>26.25</v>
      </c>
      <c r="I194" s="7">
        <f>E194*96%</f>
        <v>120</v>
      </c>
      <c r="J194" s="7">
        <v>0</v>
      </c>
      <c r="K194" s="7">
        <v>8.6999999999999993</v>
      </c>
      <c r="L194" s="7">
        <v>3</v>
      </c>
      <c r="M194" s="7">
        <v>5</v>
      </c>
      <c r="N194" s="7">
        <v>22</v>
      </c>
      <c r="O194" s="7">
        <v>27</v>
      </c>
      <c r="P194" s="7">
        <v>0.3</v>
      </c>
      <c r="Q194" s="7">
        <v>150</v>
      </c>
      <c r="R194" s="7">
        <f>C194/1000*150</f>
        <v>18.75</v>
      </c>
    </row>
    <row r="195" spans="1:18" ht="21" x14ac:dyDescent="0.35">
      <c r="A195" s="40"/>
      <c r="B195" s="162" t="s">
        <v>111</v>
      </c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4"/>
    </row>
    <row r="196" spans="1:18" ht="18.75" x14ac:dyDescent="0.3">
      <c r="A196" s="40"/>
      <c r="B196" s="33" t="s">
        <v>69</v>
      </c>
      <c r="C196" s="27">
        <v>3</v>
      </c>
      <c r="D196" s="7">
        <v>0</v>
      </c>
      <c r="E196" s="27">
        <f>C196-D196</f>
        <v>3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20</v>
      </c>
      <c r="R196" s="27">
        <f>C196/1000*20</f>
        <v>0.06</v>
      </c>
    </row>
    <row r="197" spans="1:18" ht="27" customHeight="1" x14ac:dyDescent="0.35">
      <c r="A197" s="40"/>
      <c r="B197" s="25" t="s">
        <v>69</v>
      </c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>
        <f>R196+R194+R192+R187+R185+R182</f>
        <v>61.009999999999991</v>
      </c>
    </row>
    <row r="198" spans="1:18" ht="39" customHeight="1" x14ac:dyDescent="0.35">
      <c r="A198" s="42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</row>
    <row r="199" spans="1:18" ht="39" customHeight="1" x14ac:dyDescent="0.35">
      <c r="A199" s="42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</row>
    <row r="200" spans="1:18" ht="18.75" x14ac:dyDescent="0.25">
      <c r="A200" s="128"/>
      <c r="B200" s="139" t="s">
        <v>0</v>
      </c>
      <c r="C200" s="130" t="s">
        <v>98</v>
      </c>
      <c r="D200" s="168" t="s">
        <v>20</v>
      </c>
      <c r="E200" s="168" t="s">
        <v>19</v>
      </c>
      <c r="F200" s="136" t="s">
        <v>1</v>
      </c>
      <c r="G200" s="136" t="s">
        <v>2</v>
      </c>
      <c r="H200" s="125" t="s">
        <v>3</v>
      </c>
      <c r="I200" s="136" t="s">
        <v>4</v>
      </c>
      <c r="J200" s="153" t="s">
        <v>5</v>
      </c>
      <c r="K200" s="153"/>
      <c r="L200" s="153"/>
      <c r="M200" s="153" t="s">
        <v>6</v>
      </c>
      <c r="N200" s="153"/>
      <c r="O200" s="153"/>
      <c r="P200" s="153"/>
      <c r="Q200" s="136" t="s">
        <v>66</v>
      </c>
      <c r="R200" s="171" t="s">
        <v>121</v>
      </c>
    </row>
    <row r="201" spans="1:18" x14ac:dyDescent="0.25">
      <c r="A201" s="129"/>
      <c r="B201" s="139"/>
      <c r="C201" s="131"/>
      <c r="D201" s="169"/>
      <c r="E201" s="169"/>
      <c r="F201" s="137"/>
      <c r="G201" s="137"/>
      <c r="H201" s="126"/>
      <c r="I201" s="137"/>
      <c r="J201" s="136" t="s">
        <v>7</v>
      </c>
      <c r="K201" s="168" t="s">
        <v>8</v>
      </c>
      <c r="L201" s="136" t="s">
        <v>9</v>
      </c>
      <c r="M201" s="136" t="s">
        <v>10</v>
      </c>
      <c r="N201" s="136" t="s">
        <v>11</v>
      </c>
      <c r="O201" s="136" t="s">
        <v>12</v>
      </c>
      <c r="P201" s="136" t="s">
        <v>13</v>
      </c>
      <c r="Q201" s="137"/>
      <c r="R201" s="172"/>
    </row>
    <row r="202" spans="1:18" ht="18.75" x14ac:dyDescent="0.3">
      <c r="A202" s="51"/>
      <c r="B202" s="49" t="s">
        <v>85</v>
      </c>
      <c r="C202" s="132"/>
      <c r="D202" s="170"/>
      <c r="E202" s="170"/>
      <c r="F202" s="138"/>
      <c r="G202" s="138"/>
      <c r="H202" s="127"/>
      <c r="I202" s="138"/>
      <c r="J202" s="138"/>
      <c r="K202" s="170"/>
      <c r="L202" s="138"/>
      <c r="M202" s="138"/>
      <c r="N202" s="138"/>
      <c r="O202" s="138"/>
      <c r="P202" s="138"/>
      <c r="Q202" s="138"/>
      <c r="R202" s="173"/>
    </row>
    <row r="203" spans="1:18" s="94" customFormat="1" ht="21" x14ac:dyDescent="0.35">
      <c r="A203" s="95"/>
      <c r="B203" s="241" t="s">
        <v>132</v>
      </c>
      <c r="C203" s="242"/>
      <c r="D203" s="242"/>
      <c r="E203" s="242"/>
      <c r="F203" s="242"/>
      <c r="G203" s="242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3"/>
    </row>
    <row r="204" spans="1:18" ht="18.75" x14ac:dyDescent="0.3">
      <c r="A204" s="36"/>
      <c r="B204" s="1" t="s">
        <v>86</v>
      </c>
      <c r="C204" s="4">
        <v>70</v>
      </c>
      <c r="D204" s="4">
        <f>C204*20%</f>
        <v>14</v>
      </c>
      <c r="E204" s="4">
        <f>C204-D204</f>
        <v>56</v>
      </c>
      <c r="F204" s="4">
        <f>E204*18%</f>
        <v>10.08</v>
      </c>
      <c r="G204" s="4">
        <f>E204*13.2%</f>
        <v>7.3920000000000003</v>
      </c>
      <c r="H204" s="4">
        <v>0</v>
      </c>
      <c r="I204" s="4">
        <f>E204*191%</f>
        <v>106.96</v>
      </c>
      <c r="J204" s="4">
        <f>E204*0.12%</f>
        <v>6.7199999999999996E-2</v>
      </c>
      <c r="K204" s="4">
        <f>E204*1.2%</f>
        <v>0.67200000000000004</v>
      </c>
      <c r="L204" s="4">
        <f>E204*0.01%</f>
        <v>5.5999999999999999E-3</v>
      </c>
      <c r="M204" s="4">
        <f>E204*40%</f>
        <v>22.400000000000002</v>
      </c>
      <c r="N204" s="4">
        <f>E204*280%</f>
        <v>156.79999999999998</v>
      </c>
      <c r="O204" s="4">
        <f>E204*50%</f>
        <v>28</v>
      </c>
      <c r="P204" s="4">
        <f>E204*1.7%</f>
        <v>0.95200000000000007</v>
      </c>
      <c r="Q204" s="4">
        <v>350</v>
      </c>
      <c r="R204" s="4">
        <f>C204/1000*350</f>
        <v>24.500000000000004</v>
      </c>
    </row>
    <row r="205" spans="1:18" ht="18.75" x14ac:dyDescent="0.3">
      <c r="A205" s="36"/>
      <c r="B205" s="1" t="s">
        <v>17</v>
      </c>
      <c r="C205" s="4">
        <v>10</v>
      </c>
      <c r="D205" s="4">
        <v>0</v>
      </c>
      <c r="E205" s="4">
        <f>C205-D205</f>
        <v>10</v>
      </c>
      <c r="F205" s="4">
        <v>0</v>
      </c>
      <c r="G205" s="6">
        <f>E205*99.9%</f>
        <v>9.990000000000002</v>
      </c>
      <c r="H205" s="4">
        <v>0</v>
      </c>
      <c r="I205" s="4">
        <f>E205*8.99%</f>
        <v>0.89900000000000002</v>
      </c>
      <c r="J205" s="4">
        <f>E205*0.06%</f>
        <v>5.9999999999999993E-3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150</v>
      </c>
      <c r="R205" s="3">
        <f>C205/1000*150</f>
        <v>1.5</v>
      </c>
    </row>
    <row r="206" spans="1:18" ht="18.75" x14ac:dyDescent="0.3">
      <c r="A206" s="36"/>
      <c r="B206" s="32" t="s">
        <v>69</v>
      </c>
      <c r="C206" s="5">
        <f>SUM(C204:C205)</f>
        <v>80</v>
      </c>
      <c r="D206" s="5">
        <f>SUM(D205:D205)</f>
        <v>0</v>
      </c>
      <c r="E206" s="5">
        <v>59</v>
      </c>
      <c r="F206" s="5">
        <f t="shared" ref="F206:R206" si="27">SUM(F204:F205)</f>
        <v>10.08</v>
      </c>
      <c r="G206" s="5">
        <f t="shared" si="27"/>
        <v>17.382000000000001</v>
      </c>
      <c r="H206" s="5">
        <f t="shared" si="27"/>
        <v>0</v>
      </c>
      <c r="I206" s="5">
        <f t="shared" si="27"/>
        <v>107.85899999999999</v>
      </c>
      <c r="J206" s="5">
        <f t="shared" si="27"/>
        <v>7.3200000000000001E-2</v>
      </c>
      <c r="K206" s="5">
        <f t="shared" si="27"/>
        <v>0.67200000000000004</v>
      </c>
      <c r="L206" s="5">
        <f t="shared" si="27"/>
        <v>5.5999999999999999E-3</v>
      </c>
      <c r="M206" s="5">
        <f t="shared" si="27"/>
        <v>22.400000000000002</v>
      </c>
      <c r="N206" s="5">
        <f t="shared" si="27"/>
        <v>156.79999999999998</v>
      </c>
      <c r="O206" s="5">
        <f t="shared" si="27"/>
        <v>28</v>
      </c>
      <c r="P206" s="5">
        <f t="shared" si="27"/>
        <v>0.95200000000000007</v>
      </c>
      <c r="Q206" s="5"/>
      <c r="R206" s="5">
        <f t="shared" si="27"/>
        <v>26.000000000000004</v>
      </c>
    </row>
    <row r="207" spans="1:18" s="94" customFormat="1" ht="21" x14ac:dyDescent="0.35">
      <c r="A207" s="209" t="s">
        <v>133</v>
      </c>
      <c r="B207" s="210"/>
      <c r="C207" s="210"/>
      <c r="D207" s="210"/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1"/>
    </row>
    <row r="208" spans="1:18" ht="18.75" x14ac:dyDescent="0.3">
      <c r="A208" s="40"/>
      <c r="B208" s="3" t="s">
        <v>72</v>
      </c>
      <c r="C208" s="4">
        <v>150</v>
      </c>
      <c r="D208" s="4">
        <f>C208*0.25</f>
        <v>37.5</v>
      </c>
      <c r="E208" s="4">
        <f>C208-D208</f>
        <v>112.5</v>
      </c>
      <c r="F208" s="4">
        <f>E208*2%</f>
        <v>2.25</v>
      </c>
      <c r="G208" s="4">
        <f>E208*0.4%</f>
        <v>0.45</v>
      </c>
      <c r="H208" s="4">
        <f>E208*16.3%</f>
        <v>18.337500000000002</v>
      </c>
      <c r="I208" s="4">
        <f>E208*80%</f>
        <v>90</v>
      </c>
      <c r="J208" s="4">
        <f>E208*0.12%</f>
        <v>0.13499999999999998</v>
      </c>
      <c r="K208" s="4">
        <f>E208*20%</f>
        <v>22.5</v>
      </c>
      <c r="L208" s="4">
        <v>0</v>
      </c>
      <c r="M208" s="4">
        <f>E208*10%</f>
        <v>11.25</v>
      </c>
      <c r="N208" s="4">
        <f>E208*58%</f>
        <v>65.25</v>
      </c>
      <c r="O208" s="4">
        <f>E208*23%</f>
        <v>25.875</v>
      </c>
      <c r="P208" s="4">
        <f>E208*0.9%</f>
        <v>1.0125000000000002</v>
      </c>
      <c r="Q208" s="4">
        <v>57</v>
      </c>
      <c r="R208" s="4">
        <f>C208/1000*57</f>
        <v>8.5499999999999989</v>
      </c>
    </row>
    <row r="209" spans="1:18" ht="18.75" x14ac:dyDescent="0.3">
      <c r="A209" s="40"/>
      <c r="B209" s="3" t="s">
        <v>22</v>
      </c>
      <c r="C209" s="4">
        <v>10</v>
      </c>
      <c r="D209" s="4">
        <v>0</v>
      </c>
      <c r="E209" s="4">
        <f>C209-D209</f>
        <v>10</v>
      </c>
      <c r="F209" s="4">
        <f>E209*0.5%</f>
        <v>0.05</v>
      </c>
      <c r="G209" s="4">
        <f>E209*82.5%</f>
        <v>8.25</v>
      </c>
      <c r="H209" s="4">
        <f>E209*0.8%</f>
        <v>0.08</v>
      </c>
      <c r="I209" s="4">
        <f>E209*748%</f>
        <v>74.800000000000011</v>
      </c>
      <c r="J209" s="4">
        <v>0</v>
      </c>
      <c r="K209" s="4">
        <v>0</v>
      </c>
      <c r="L209" s="4">
        <f>E209*0.59%</f>
        <v>5.8999999999999997E-2</v>
      </c>
      <c r="M209" s="4">
        <f>E209*12%</f>
        <v>1.2</v>
      </c>
      <c r="N209" s="4">
        <f>E209*19%</f>
        <v>1.9</v>
      </c>
      <c r="O209" s="4">
        <f>E209*0.4%</f>
        <v>0.04</v>
      </c>
      <c r="P209" s="4">
        <f>E209*0.2%</f>
        <v>0.02</v>
      </c>
      <c r="Q209" s="4">
        <v>480</v>
      </c>
      <c r="R209" s="24">
        <f>C209/1000*480</f>
        <v>4.8</v>
      </c>
    </row>
    <row r="210" spans="1:18" ht="18.75" x14ac:dyDescent="0.3">
      <c r="A210" s="40"/>
      <c r="B210" s="32" t="s">
        <v>69</v>
      </c>
      <c r="C210" s="7">
        <f t="shared" ref="C210:P210" si="28">SUM(C208:C209)</f>
        <v>160</v>
      </c>
      <c r="D210" s="7">
        <f t="shared" si="28"/>
        <v>37.5</v>
      </c>
      <c r="E210" s="7">
        <f t="shared" si="28"/>
        <v>122.5</v>
      </c>
      <c r="F210" s="7">
        <f t="shared" si="28"/>
        <v>2.2999999999999998</v>
      </c>
      <c r="G210" s="7">
        <f t="shared" si="28"/>
        <v>8.6999999999999993</v>
      </c>
      <c r="H210" s="7">
        <f t="shared" si="28"/>
        <v>18.4175</v>
      </c>
      <c r="I210" s="7">
        <f t="shared" si="28"/>
        <v>164.8</v>
      </c>
      <c r="J210" s="7">
        <f t="shared" si="28"/>
        <v>0.13499999999999998</v>
      </c>
      <c r="K210" s="7">
        <f t="shared" si="28"/>
        <v>22.5</v>
      </c>
      <c r="L210" s="7">
        <f t="shared" si="28"/>
        <v>5.8999999999999997E-2</v>
      </c>
      <c r="M210" s="7">
        <f t="shared" si="28"/>
        <v>12.45</v>
      </c>
      <c r="N210" s="7">
        <f t="shared" si="28"/>
        <v>67.150000000000006</v>
      </c>
      <c r="O210" s="7">
        <f t="shared" si="28"/>
        <v>25.914999999999999</v>
      </c>
      <c r="P210" s="7">
        <f t="shared" si="28"/>
        <v>1.0325000000000002</v>
      </c>
      <c r="Q210" s="7"/>
      <c r="R210" s="7">
        <f t="shared" ref="R210" si="29">SUM(R208:R209)</f>
        <v>13.349999999999998</v>
      </c>
    </row>
    <row r="211" spans="1:18" ht="21" x14ac:dyDescent="0.35">
      <c r="A211" s="36"/>
      <c r="B211" s="157" t="s">
        <v>109</v>
      </c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5"/>
    </row>
    <row r="212" spans="1:18" ht="18.75" x14ac:dyDescent="0.3">
      <c r="A212" s="36"/>
      <c r="B212" s="33" t="s">
        <v>69</v>
      </c>
      <c r="C212" s="7">
        <v>50</v>
      </c>
      <c r="D212" s="7">
        <v>0</v>
      </c>
      <c r="E212" s="7">
        <v>50</v>
      </c>
      <c r="F212" s="7">
        <f>E212*7.9%</f>
        <v>3.95</v>
      </c>
      <c r="G212" s="7">
        <f>E212*1%</f>
        <v>0.5</v>
      </c>
      <c r="H212" s="7">
        <f>E212*48.1%</f>
        <v>24.05</v>
      </c>
      <c r="I212" s="7">
        <f>E212*239%</f>
        <v>119.5</v>
      </c>
      <c r="J212" s="7">
        <f>E212*0.16%</f>
        <v>0.08</v>
      </c>
      <c r="K212" s="7">
        <v>0</v>
      </c>
      <c r="L212" s="7">
        <v>0</v>
      </c>
      <c r="M212" s="7">
        <f>E212*23%</f>
        <v>11.5</v>
      </c>
      <c r="N212" s="7">
        <f>E212*87%</f>
        <v>43.5</v>
      </c>
      <c r="O212" s="7">
        <f>E212*33%</f>
        <v>16.5</v>
      </c>
      <c r="P212" s="7">
        <f>E212*2%</f>
        <v>1</v>
      </c>
      <c r="Q212" s="7">
        <v>50</v>
      </c>
      <c r="R212" s="7">
        <f>C212/1000*50</f>
        <v>2.5</v>
      </c>
    </row>
    <row r="213" spans="1:18" ht="21" x14ac:dyDescent="0.35">
      <c r="A213" s="36"/>
      <c r="B213" s="157" t="s">
        <v>115</v>
      </c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5"/>
    </row>
    <row r="214" spans="1:18" ht="18.75" x14ac:dyDescent="0.3">
      <c r="A214" s="36"/>
      <c r="B214" s="4" t="s">
        <v>67</v>
      </c>
      <c r="C214" s="4">
        <v>15</v>
      </c>
      <c r="D214" s="4">
        <v>0</v>
      </c>
      <c r="E214" s="4">
        <v>15</v>
      </c>
      <c r="F214" s="4">
        <f>E214*5.2%</f>
        <v>0.78</v>
      </c>
      <c r="G214" s="4">
        <v>0</v>
      </c>
      <c r="H214" s="4">
        <f>E214*55%</f>
        <v>8.25</v>
      </c>
      <c r="I214" s="4">
        <f>E214*234%</f>
        <v>35.099999999999994</v>
      </c>
      <c r="J214" s="4">
        <f>E214*0.1%</f>
        <v>1.4999999999999999E-2</v>
      </c>
      <c r="K214" s="4">
        <f>E214*4%</f>
        <v>0.6</v>
      </c>
      <c r="L214" s="4">
        <v>0</v>
      </c>
      <c r="M214" s="4">
        <f>E214*160%</f>
        <v>24</v>
      </c>
      <c r="N214" s="4">
        <f>E214*146%</f>
        <v>21.9</v>
      </c>
      <c r="O214" s="4">
        <f>E214*105%</f>
        <v>15.75</v>
      </c>
      <c r="P214" s="4">
        <f>E214*3.2%</f>
        <v>0.48</v>
      </c>
      <c r="Q214" s="4">
        <v>350</v>
      </c>
      <c r="R214" s="4">
        <f>C214/1000*350</f>
        <v>5.25</v>
      </c>
    </row>
    <row r="215" spans="1:18" ht="18.75" x14ac:dyDescent="0.3">
      <c r="A215" s="36"/>
      <c r="B215" s="4" t="s">
        <v>68</v>
      </c>
      <c r="C215" s="4">
        <v>10</v>
      </c>
      <c r="D215" s="4">
        <v>0</v>
      </c>
      <c r="E215" s="4">
        <v>10</v>
      </c>
      <c r="F215" s="4">
        <v>0</v>
      </c>
      <c r="G215" s="4">
        <v>0</v>
      </c>
      <c r="H215" s="4">
        <f>E215*99.8%</f>
        <v>9.98</v>
      </c>
      <c r="I215" s="4">
        <f>E215*379%</f>
        <v>37.9</v>
      </c>
      <c r="J215" s="4">
        <v>0</v>
      </c>
      <c r="K215" s="4">
        <v>0</v>
      </c>
      <c r="L215" s="4">
        <v>0</v>
      </c>
      <c r="M215" s="4">
        <f>E215*2%</f>
        <v>0.2</v>
      </c>
      <c r="N215" s="4">
        <v>0</v>
      </c>
      <c r="O215" s="4">
        <v>0</v>
      </c>
      <c r="P215" s="4">
        <f>E215*0.3%</f>
        <v>0.03</v>
      </c>
      <c r="Q215" s="4">
        <v>60</v>
      </c>
      <c r="R215" s="4">
        <f>C215/1000*60</f>
        <v>0.6</v>
      </c>
    </row>
    <row r="216" spans="1:18" ht="18.75" x14ac:dyDescent="0.3">
      <c r="A216" s="36"/>
      <c r="B216" s="33" t="s">
        <v>69</v>
      </c>
      <c r="C216" s="7">
        <v>25</v>
      </c>
      <c r="D216" s="7">
        <f t="shared" ref="D216:P216" si="30">SUM(D214:D215)</f>
        <v>0</v>
      </c>
      <c r="E216" s="7">
        <v>150</v>
      </c>
      <c r="F216" s="7">
        <f t="shared" si="30"/>
        <v>0.78</v>
      </c>
      <c r="G216" s="7">
        <f t="shared" si="30"/>
        <v>0</v>
      </c>
      <c r="H216" s="7">
        <f t="shared" si="30"/>
        <v>18.23</v>
      </c>
      <c r="I216" s="7">
        <f t="shared" si="30"/>
        <v>73</v>
      </c>
      <c r="J216" s="7">
        <f t="shared" si="30"/>
        <v>1.4999999999999999E-2</v>
      </c>
      <c r="K216" s="7">
        <f t="shared" si="30"/>
        <v>0.6</v>
      </c>
      <c r="L216" s="7">
        <f t="shared" si="30"/>
        <v>0</v>
      </c>
      <c r="M216" s="7">
        <f t="shared" si="30"/>
        <v>24.2</v>
      </c>
      <c r="N216" s="7">
        <f t="shared" si="30"/>
        <v>21.9</v>
      </c>
      <c r="O216" s="7">
        <f t="shared" si="30"/>
        <v>15.75</v>
      </c>
      <c r="P216" s="7">
        <f t="shared" si="30"/>
        <v>0.51</v>
      </c>
      <c r="Q216" s="7"/>
      <c r="R216" s="7">
        <f>SUM(R214:R215)</f>
        <v>5.85</v>
      </c>
    </row>
    <row r="217" spans="1:18" ht="21" x14ac:dyDescent="0.35">
      <c r="A217" s="36"/>
      <c r="B217" s="157" t="s">
        <v>116</v>
      </c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5"/>
    </row>
    <row r="218" spans="1:18" ht="27.75" customHeight="1" x14ac:dyDescent="0.3">
      <c r="A218" s="36"/>
      <c r="B218" s="33" t="s">
        <v>69</v>
      </c>
      <c r="C218" s="7">
        <v>110</v>
      </c>
      <c r="D218" s="7">
        <v>0</v>
      </c>
      <c r="E218" s="7">
        <f>C218-D218</f>
        <v>110</v>
      </c>
      <c r="F218" s="7">
        <f>E218*0.8%</f>
        <v>0.88</v>
      </c>
      <c r="G218" s="7">
        <f>E218*0.3%</f>
        <v>0.33</v>
      </c>
      <c r="H218" s="7">
        <f>E218*8.1%</f>
        <v>8.91</v>
      </c>
      <c r="I218" s="7">
        <f>E218*40%</f>
        <v>44</v>
      </c>
      <c r="J218" s="7">
        <f>E218*0.06%</f>
        <v>6.5999999999999989E-2</v>
      </c>
      <c r="K218" s="7">
        <f>E218*38%</f>
        <v>41.8</v>
      </c>
      <c r="L218" s="7">
        <v>0</v>
      </c>
      <c r="M218" s="7">
        <f>E218*35%</f>
        <v>38.5</v>
      </c>
      <c r="N218" s="7">
        <f>E218*17%</f>
        <v>18.700000000000003</v>
      </c>
      <c r="O218" s="7">
        <f>E218*35%</f>
        <v>38.5</v>
      </c>
      <c r="P218" s="7">
        <f>E218*0.1%</f>
        <v>0.11</v>
      </c>
      <c r="Q218" s="7">
        <v>120</v>
      </c>
      <c r="R218" s="7">
        <f>C218/1000*120</f>
        <v>13.2</v>
      </c>
    </row>
    <row r="219" spans="1:18" ht="21" x14ac:dyDescent="0.35">
      <c r="A219" s="40"/>
      <c r="B219" s="162" t="s">
        <v>111</v>
      </c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4"/>
    </row>
    <row r="220" spans="1:18" ht="18.75" x14ac:dyDescent="0.3">
      <c r="A220" s="40"/>
      <c r="B220" s="33" t="s">
        <v>69</v>
      </c>
      <c r="C220" s="27">
        <v>3</v>
      </c>
      <c r="D220" s="7">
        <v>0</v>
      </c>
      <c r="E220" s="27">
        <f>C220-D220</f>
        <v>3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20</v>
      </c>
      <c r="R220" s="27">
        <f>C220/1000*20</f>
        <v>0.06</v>
      </c>
    </row>
    <row r="221" spans="1:18" ht="18.75" x14ac:dyDescent="0.3">
      <c r="A221" s="4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23.25" x14ac:dyDescent="0.35">
      <c r="A222" s="40"/>
      <c r="B222" s="25" t="s">
        <v>69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>
        <f>R220+R218+R216+R212+R210+R206</f>
        <v>60.959999999999994</v>
      </c>
    </row>
    <row r="223" spans="1:18" ht="34.5" customHeight="1" x14ac:dyDescent="0.35">
      <c r="A223" s="42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</row>
    <row r="224" spans="1:18" ht="34.5" customHeight="1" x14ac:dyDescent="0.35">
      <c r="A224" s="42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</row>
    <row r="225" spans="1:18" ht="15.75" x14ac:dyDescent="0.25">
      <c r="A225" s="128"/>
      <c r="B225" s="139" t="s">
        <v>0</v>
      </c>
      <c r="C225" s="146" t="s">
        <v>18</v>
      </c>
      <c r="D225" s="143" t="s">
        <v>20</v>
      </c>
      <c r="E225" s="143" t="s">
        <v>19</v>
      </c>
      <c r="F225" s="125" t="s">
        <v>1</v>
      </c>
      <c r="G225" s="125" t="s">
        <v>2</v>
      </c>
      <c r="H225" s="125" t="s">
        <v>3</v>
      </c>
      <c r="I225" s="125" t="s">
        <v>4</v>
      </c>
      <c r="J225" s="140" t="s">
        <v>5</v>
      </c>
      <c r="K225" s="140"/>
      <c r="L225" s="140"/>
      <c r="M225" s="140" t="s">
        <v>6</v>
      </c>
      <c r="N225" s="140"/>
      <c r="O225" s="140"/>
      <c r="P225" s="140"/>
      <c r="Q225" s="136" t="s">
        <v>66</v>
      </c>
      <c r="R225" s="231" t="s">
        <v>121</v>
      </c>
    </row>
    <row r="226" spans="1:18" x14ac:dyDescent="0.25">
      <c r="A226" s="129"/>
      <c r="B226" s="139"/>
      <c r="C226" s="147"/>
      <c r="D226" s="144"/>
      <c r="E226" s="144"/>
      <c r="F226" s="126"/>
      <c r="G226" s="126"/>
      <c r="H226" s="126"/>
      <c r="I226" s="126"/>
      <c r="J226" s="125" t="s">
        <v>7</v>
      </c>
      <c r="K226" s="141" t="s">
        <v>8</v>
      </c>
      <c r="L226" s="125" t="s">
        <v>9</v>
      </c>
      <c r="M226" s="125" t="s">
        <v>10</v>
      </c>
      <c r="N226" s="125" t="s">
        <v>11</v>
      </c>
      <c r="O226" s="125" t="s">
        <v>12</v>
      </c>
      <c r="P226" s="125" t="s">
        <v>13</v>
      </c>
      <c r="Q226" s="137"/>
      <c r="R226" s="232"/>
    </row>
    <row r="227" spans="1:18" ht="20.25" x14ac:dyDescent="0.3">
      <c r="A227" s="35"/>
      <c r="B227" s="2" t="s">
        <v>87</v>
      </c>
      <c r="C227" s="148"/>
      <c r="D227" s="145"/>
      <c r="E227" s="145"/>
      <c r="F227" s="127"/>
      <c r="G227" s="127"/>
      <c r="H227" s="127"/>
      <c r="I227" s="127"/>
      <c r="J227" s="127"/>
      <c r="K227" s="142"/>
      <c r="L227" s="127"/>
      <c r="M227" s="127"/>
      <c r="N227" s="127"/>
      <c r="O227" s="127"/>
      <c r="P227" s="127"/>
      <c r="Q227" s="138"/>
      <c r="R227" s="233"/>
    </row>
    <row r="228" spans="1:18" ht="20.25" x14ac:dyDescent="0.3">
      <c r="A228" s="35"/>
      <c r="B228" s="199" t="s">
        <v>134</v>
      </c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200"/>
      <c r="R228" s="201"/>
    </row>
    <row r="229" spans="1:18" ht="18.75" x14ac:dyDescent="0.3">
      <c r="A229" s="36"/>
      <c r="B229" s="3" t="s">
        <v>74</v>
      </c>
      <c r="C229" s="4">
        <v>90</v>
      </c>
      <c r="D229" s="4">
        <f>C229*25%</f>
        <v>22.5</v>
      </c>
      <c r="E229" s="4">
        <v>75</v>
      </c>
      <c r="F229" s="4">
        <f>E229*18.2%</f>
        <v>13.65</v>
      </c>
      <c r="G229" s="4">
        <f>E229*18.4%</f>
        <v>13.799999999999999</v>
      </c>
      <c r="H229" s="4">
        <f>E229*0.7%</f>
        <v>0.52499999999999991</v>
      </c>
      <c r="I229" s="4">
        <f>E229*241%</f>
        <v>180.75</v>
      </c>
      <c r="J229" s="4">
        <f>E229*0.07%</f>
        <v>5.2500000000000005E-2</v>
      </c>
      <c r="K229" s="4">
        <v>0</v>
      </c>
      <c r="L229" s="4">
        <f>E229*0.07%</f>
        <v>5.2500000000000005E-2</v>
      </c>
      <c r="M229" s="4">
        <f>E229*16%</f>
        <v>12</v>
      </c>
      <c r="N229" s="4">
        <f>E229*165%</f>
        <v>123.75</v>
      </c>
      <c r="O229" s="4">
        <f>E229*18%</f>
        <v>13.5</v>
      </c>
      <c r="P229" s="4">
        <f>E229*1.6%</f>
        <v>1.2</v>
      </c>
      <c r="Q229" s="4">
        <v>270</v>
      </c>
      <c r="R229" s="4">
        <f>C229/1000*270</f>
        <v>24.3</v>
      </c>
    </row>
    <row r="230" spans="1:18" ht="18.75" x14ac:dyDescent="0.3">
      <c r="A230" s="26"/>
      <c r="B230" s="3" t="s">
        <v>73</v>
      </c>
      <c r="C230" s="4">
        <v>17</v>
      </c>
      <c r="D230" s="4">
        <f>C230*0.16</f>
        <v>2.72</v>
      </c>
      <c r="E230" s="4">
        <f>C230-D230</f>
        <v>14.28</v>
      </c>
      <c r="F230" s="4">
        <f>E230*1.4%</f>
        <v>0.19991999999999996</v>
      </c>
      <c r="G230">
        <v>0</v>
      </c>
      <c r="H230" s="4">
        <f>E230*9.1%</f>
        <v>1.29948</v>
      </c>
      <c r="I230" s="4">
        <f>E230*41%</f>
        <v>5.8547999999999991</v>
      </c>
      <c r="J230" s="4">
        <f>E230*0.05%</f>
        <v>7.1399999999999996E-3</v>
      </c>
      <c r="K230" s="4">
        <f>E230*10%</f>
        <v>1.4279999999999999</v>
      </c>
      <c r="L230" s="4">
        <v>0</v>
      </c>
      <c r="M230" s="4">
        <f>E230*31%</f>
        <v>4.4268000000000001</v>
      </c>
      <c r="N230" s="4">
        <f>E230*58%</f>
        <v>8.2823999999999991</v>
      </c>
      <c r="O230" s="4">
        <f>E230*14%</f>
        <v>1.9992000000000001</v>
      </c>
      <c r="P230" s="4">
        <f>E230*0.8%</f>
        <v>0.11423999999999999</v>
      </c>
      <c r="Q230" s="4">
        <v>40</v>
      </c>
      <c r="R230" s="4">
        <f>C230/1000*40</f>
        <v>0.68</v>
      </c>
    </row>
    <row r="231" spans="1:18" ht="18.75" x14ac:dyDescent="0.3">
      <c r="A231" s="40"/>
      <c r="B231" s="3" t="s">
        <v>72</v>
      </c>
      <c r="C231" s="4">
        <v>100</v>
      </c>
      <c r="D231" s="4">
        <f>C231*0.25</f>
        <v>25</v>
      </c>
      <c r="E231" s="4">
        <f>C231-D231</f>
        <v>75</v>
      </c>
      <c r="F231" s="4">
        <f>E231*2%</f>
        <v>1.5</v>
      </c>
      <c r="G231" s="4">
        <f>E231*0.4%</f>
        <v>0.3</v>
      </c>
      <c r="H231" s="4">
        <f>E231*16.3%</f>
        <v>12.225</v>
      </c>
      <c r="I231" s="4">
        <f>E231*80%</f>
        <v>60</v>
      </c>
      <c r="J231" s="4">
        <f>E231*0.12%</f>
        <v>0.09</v>
      </c>
      <c r="K231" s="4">
        <f>E231*20%</f>
        <v>15</v>
      </c>
      <c r="L231" s="4">
        <v>0</v>
      </c>
      <c r="M231" s="4">
        <f>E231*10%</f>
        <v>7.5</v>
      </c>
      <c r="N231" s="4">
        <f>E231*58%</f>
        <v>43.5</v>
      </c>
      <c r="O231" s="4">
        <f>E231*23%</f>
        <v>17.25</v>
      </c>
      <c r="P231" s="4">
        <f>E231*0.9%</f>
        <v>0.67500000000000004</v>
      </c>
      <c r="Q231" s="4">
        <v>57</v>
      </c>
      <c r="R231" s="4">
        <f>C231/1000*57</f>
        <v>5.7</v>
      </c>
    </row>
    <row r="232" spans="1:18" ht="18.75" x14ac:dyDescent="0.3">
      <c r="A232" s="40"/>
      <c r="B232" s="3" t="s">
        <v>22</v>
      </c>
      <c r="C232" s="4">
        <v>10</v>
      </c>
      <c r="D232" s="4">
        <v>0</v>
      </c>
      <c r="E232" s="4">
        <f>C232-D232</f>
        <v>10</v>
      </c>
      <c r="F232" s="4">
        <f>E232*0.5%</f>
        <v>0.05</v>
      </c>
      <c r="G232" s="4">
        <f>E232*82.5%</f>
        <v>8.25</v>
      </c>
      <c r="H232" s="4">
        <f>E232*0.8%</f>
        <v>0.08</v>
      </c>
      <c r="I232" s="4">
        <f>E232*748%</f>
        <v>74.800000000000011</v>
      </c>
      <c r="J232" s="4">
        <v>0</v>
      </c>
      <c r="K232" s="4">
        <v>0</v>
      </c>
      <c r="L232" s="4">
        <f>E232*0.59%</f>
        <v>5.8999999999999997E-2</v>
      </c>
      <c r="M232" s="4">
        <f>E232*12%</f>
        <v>1.2</v>
      </c>
      <c r="N232" s="4">
        <f>E232*19%</f>
        <v>1.9</v>
      </c>
      <c r="O232" s="4">
        <f>E232*0.4%</f>
        <v>0.04</v>
      </c>
      <c r="P232" s="4">
        <f>E232*0.2%</f>
        <v>0.02</v>
      </c>
      <c r="Q232" s="4">
        <v>480</v>
      </c>
      <c r="R232" s="24">
        <f>C232/1000*480</f>
        <v>4.8</v>
      </c>
    </row>
    <row r="233" spans="1:18" ht="18.75" x14ac:dyDescent="0.3">
      <c r="A233" s="26"/>
      <c r="B233" s="32" t="s">
        <v>69</v>
      </c>
      <c r="C233" s="7">
        <f t="shared" ref="C233:P233" si="31">SUM(C229:C232)</f>
        <v>217</v>
      </c>
      <c r="D233" s="7">
        <f t="shared" si="31"/>
        <v>50.22</v>
      </c>
      <c r="E233" s="7">
        <f t="shared" si="31"/>
        <v>174.28</v>
      </c>
      <c r="F233" s="7">
        <f t="shared" si="31"/>
        <v>15.399920000000002</v>
      </c>
      <c r="G233" s="7">
        <f t="shared" si="31"/>
        <v>22.35</v>
      </c>
      <c r="H233" s="7">
        <f t="shared" si="31"/>
        <v>14.129479999999999</v>
      </c>
      <c r="I233" s="7">
        <f t="shared" si="31"/>
        <v>321.40480000000002</v>
      </c>
      <c r="J233" s="7">
        <f t="shared" si="31"/>
        <v>0.14964</v>
      </c>
      <c r="K233" s="7">
        <f t="shared" si="31"/>
        <v>16.428000000000001</v>
      </c>
      <c r="L233" s="7">
        <f t="shared" si="31"/>
        <v>0.1115</v>
      </c>
      <c r="M233" s="7">
        <f t="shared" si="31"/>
        <v>25.126799999999999</v>
      </c>
      <c r="N233" s="7">
        <f t="shared" si="31"/>
        <v>177.4324</v>
      </c>
      <c r="O233" s="7">
        <f t="shared" si="31"/>
        <v>32.789200000000001</v>
      </c>
      <c r="P233" s="7">
        <f t="shared" si="31"/>
        <v>2.0092399999999997</v>
      </c>
      <c r="Q233" s="7"/>
      <c r="R233" s="7">
        <f>SUM(R229:R232)</f>
        <v>35.479999999999997</v>
      </c>
    </row>
    <row r="234" spans="1:18" ht="21" x14ac:dyDescent="0.35">
      <c r="A234" s="36"/>
      <c r="B234" s="205" t="s">
        <v>135</v>
      </c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2"/>
    </row>
    <row r="235" spans="1:18" ht="18.75" x14ac:dyDescent="0.3">
      <c r="A235" s="36"/>
      <c r="B235" s="3" t="s">
        <v>72</v>
      </c>
      <c r="C235" s="4">
        <v>23</v>
      </c>
      <c r="D235" s="4">
        <f>C235*0.25</f>
        <v>5.75</v>
      </c>
      <c r="E235" s="4">
        <f>C235-D235</f>
        <v>17.25</v>
      </c>
      <c r="F235" s="4">
        <f>E235*2%</f>
        <v>0.34500000000000003</v>
      </c>
      <c r="G235" s="4">
        <f>E235*0.4%</f>
        <v>6.9000000000000006E-2</v>
      </c>
      <c r="H235" s="4">
        <f>E235*16.3%</f>
        <v>2.81175</v>
      </c>
      <c r="I235" s="4">
        <f>E235*80%</f>
        <v>13.8</v>
      </c>
      <c r="J235" s="4">
        <f>E235*0.12%</f>
        <v>2.07E-2</v>
      </c>
      <c r="K235" s="4">
        <f>E235*20%</f>
        <v>3.45</v>
      </c>
      <c r="L235" s="4">
        <v>0</v>
      </c>
      <c r="M235" s="4">
        <f>E235*10%</f>
        <v>1.7250000000000001</v>
      </c>
      <c r="N235" s="4">
        <f>E235*58%</f>
        <v>10.004999999999999</v>
      </c>
      <c r="O235" s="4">
        <f>E235*23%</f>
        <v>3.9675000000000002</v>
      </c>
      <c r="P235" s="4">
        <f>E235*0.9%</f>
        <v>0.15525000000000003</v>
      </c>
      <c r="Q235" s="4">
        <v>57</v>
      </c>
      <c r="R235" s="4">
        <f>C235/1000*57</f>
        <v>1.3109999999999999</v>
      </c>
    </row>
    <row r="236" spans="1:18" ht="18.75" x14ac:dyDescent="0.3">
      <c r="A236" s="36"/>
      <c r="B236" s="3" t="s">
        <v>15</v>
      </c>
      <c r="C236" s="4">
        <v>23</v>
      </c>
      <c r="D236" s="4">
        <f>C236*0.2</f>
        <v>4.6000000000000005</v>
      </c>
      <c r="E236" s="4">
        <f>C236-D236</f>
        <v>18.399999999999999</v>
      </c>
      <c r="F236" s="4">
        <f>E236*1.3%</f>
        <v>0.2392</v>
      </c>
      <c r="G236" s="6">
        <f>E236*0.001</f>
        <v>1.84E-2</v>
      </c>
      <c r="H236" s="4">
        <f>E236*0.072</f>
        <v>1.3247999999999998</v>
      </c>
      <c r="I236" s="4">
        <f>E236*0.3</f>
        <v>5.52</v>
      </c>
      <c r="J236" s="4">
        <f>E236*0.06%</f>
        <v>1.1039999999999998E-2</v>
      </c>
      <c r="K236" s="4">
        <f>E236*5%</f>
        <v>0.91999999999999993</v>
      </c>
      <c r="L236" s="4">
        <v>0</v>
      </c>
      <c r="M236" s="4">
        <f>E236*51%</f>
        <v>9.3839999999999986</v>
      </c>
      <c r="N236" s="4">
        <f>E236*55%</f>
        <v>10.119999999999999</v>
      </c>
      <c r="O236" s="4">
        <f>E236*38%</f>
        <v>6.9919999999999991</v>
      </c>
      <c r="P236" s="4">
        <f>E236*0.7%</f>
        <v>0.12879999999999997</v>
      </c>
      <c r="Q236" s="4">
        <v>60</v>
      </c>
      <c r="R236" s="3">
        <f>C236/1000*60</f>
        <v>1.38</v>
      </c>
    </row>
    <row r="237" spans="1:18" ht="18.75" x14ac:dyDescent="0.3">
      <c r="A237" s="36"/>
      <c r="B237" s="1" t="s">
        <v>71</v>
      </c>
      <c r="C237" s="4">
        <v>23</v>
      </c>
      <c r="D237" s="4">
        <f>C237*0.2</f>
        <v>4.6000000000000005</v>
      </c>
      <c r="E237" s="4">
        <f>C237-D237</f>
        <v>18.399999999999999</v>
      </c>
      <c r="F237" s="4">
        <f>E237*0.015</f>
        <v>0.27599999999999997</v>
      </c>
      <c r="G237" s="4">
        <f>E237*0.001</f>
        <v>1.84E-2</v>
      </c>
      <c r="H237" s="4">
        <f>E237*0.091</f>
        <v>1.6743999999999999</v>
      </c>
      <c r="I237" s="4">
        <f>E237*0.42</f>
        <v>7.7279999999999989</v>
      </c>
      <c r="J237" s="4">
        <f>E237*0.02%</f>
        <v>3.6799999999999997E-3</v>
      </c>
      <c r="K237" s="4">
        <f>E237*10%</f>
        <v>1.8399999999999999</v>
      </c>
      <c r="L237" s="4">
        <v>0</v>
      </c>
      <c r="M237" s="4">
        <f>E237*37%</f>
        <v>6.8079999999999998</v>
      </c>
      <c r="N237" s="4">
        <f>E237*43%</f>
        <v>7.911999999999999</v>
      </c>
      <c r="O237" s="4">
        <f>E237*22%</f>
        <v>4.048</v>
      </c>
      <c r="P237" s="4">
        <f>E237*1.4%</f>
        <v>0.25759999999999994</v>
      </c>
      <c r="Q237" s="4">
        <v>60</v>
      </c>
      <c r="R237" s="4">
        <f>C237/1000*60</f>
        <v>1.38</v>
      </c>
    </row>
    <row r="238" spans="1:18" s="74" customFormat="1" ht="15.75" customHeight="1" x14ac:dyDescent="0.25">
      <c r="A238" s="85"/>
      <c r="B238" s="1" t="s">
        <v>77</v>
      </c>
      <c r="C238" s="73">
        <v>5</v>
      </c>
      <c r="D238" s="73">
        <v>0</v>
      </c>
      <c r="E238" s="73">
        <f>C238-D238</f>
        <v>5</v>
      </c>
      <c r="F238" s="73">
        <v>0</v>
      </c>
      <c r="G238" s="84">
        <f>E238*0.999</f>
        <v>4.9950000000000001</v>
      </c>
      <c r="H238" s="73">
        <v>0</v>
      </c>
      <c r="I238" s="73">
        <f>E238*8.99</f>
        <v>44.95</v>
      </c>
      <c r="J238" s="73">
        <f>E238*0.06%</f>
        <v>2.9999999999999996E-3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180</v>
      </c>
      <c r="R238" s="73">
        <f>C238/1000*180</f>
        <v>0.9</v>
      </c>
    </row>
    <row r="239" spans="1:18" ht="18.75" x14ac:dyDescent="0.3">
      <c r="A239" s="36"/>
      <c r="B239" s="1" t="s">
        <v>17</v>
      </c>
      <c r="C239" s="4">
        <v>5</v>
      </c>
      <c r="D239" s="4">
        <v>0</v>
      </c>
      <c r="E239" s="4">
        <f>C239-D239</f>
        <v>5</v>
      </c>
      <c r="F239" s="4">
        <v>0</v>
      </c>
      <c r="G239" s="6">
        <f>E239*0.999</f>
        <v>4.9950000000000001</v>
      </c>
      <c r="H239" s="4">
        <v>0</v>
      </c>
      <c r="I239" s="4">
        <f>E239*8.99</f>
        <v>44.95</v>
      </c>
      <c r="J239" s="4">
        <f>E239*0.06%</f>
        <v>2.9999999999999996E-3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150</v>
      </c>
      <c r="R239" s="4">
        <f>C239/1000*150</f>
        <v>0.75</v>
      </c>
    </row>
    <row r="240" spans="1:18" ht="18.75" x14ac:dyDescent="0.3">
      <c r="A240" s="36"/>
      <c r="B240" s="32" t="s">
        <v>69</v>
      </c>
      <c r="C240" s="7">
        <f t="shared" ref="C240:P240" si="32">SUM(C235:C239)</f>
        <v>79</v>
      </c>
      <c r="D240" s="7">
        <f t="shared" si="32"/>
        <v>14.950000000000003</v>
      </c>
      <c r="E240" s="7">
        <f t="shared" si="32"/>
        <v>64.05</v>
      </c>
      <c r="F240" s="7">
        <f t="shared" si="32"/>
        <v>0.86020000000000008</v>
      </c>
      <c r="G240" s="7">
        <f t="shared" si="32"/>
        <v>10.095800000000001</v>
      </c>
      <c r="H240" s="7">
        <f t="shared" si="32"/>
        <v>5.8109500000000001</v>
      </c>
      <c r="I240" s="7">
        <f t="shared" si="32"/>
        <v>116.94800000000001</v>
      </c>
      <c r="J240" s="7">
        <f t="shared" si="32"/>
        <v>4.1420000000000005E-2</v>
      </c>
      <c r="K240" s="7">
        <f t="shared" si="32"/>
        <v>6.21</v>
      </c>
      <c r="L240" s="7">
        <f t="shared" si="32"/>
        <v>0</v>
      </c>
      <c r="M240" s="7">
        <f t="shared" si="32"/>
        <v>17.916999999999998</v>
      </c>
      <c r="N240" s="7">
        <f t="shared" si="32"/>
        <v>28.036999999999999</v>
      </c>
      <c r="O240" s="7">
        <f t="shared" si="32"/>
        <v>15.007499999999999</v>
      </c>
      <c r="P240" s="7">
        <f t="shared" si="32"/>
        <v>0.54164999999999996</v>
      </c>
      <c r="Q240" s="7"/>
      <c r="R240" s="7">
        <f t="shared" ref="R240" si="33">SUM(R235:R239)</f>
        <v>5.7210000000000001</v>
      </c>
    </row>
    <row r="241" spans="1:18" ht="21" x14ac:dyDescent="0.35">
      <c r="A241" s="36"/>
      <c r="B241" s="157" t="s">
        <v>109</v>
      </c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5"/>
    </row>
    <row r="242" spans="1:18" ht="18.75" x14ac:dyDescent="0.3">
      <c r="A242" s="36"/>
      <c r="B242" s="33" t="s">
        <v>69</v>
      </c>
      <c r="C242" s="7">
        <v>30</v>
      </c>
      <c r="D242" s="7">
        <v>0</v>
      </c>
      <c r="E242" s="7">
        <v>30</v>
      </c>
      <c r="F242" s="7">
        <f>E242*7.9%</f>
        <v>2.37</v>
      </c>
      <c r="G242" s="7">
        <f>E242*1%</f>
        <v>0.3</v>
      </c>
      <c r="H242" s="7">
        <f>E242*48.1%</f>
        <v>14.430000000000001</v>
      </c>
      <c r="I242" s="7">
        <f>E242*239%</f>
        <v>71.7</v>
      </c>
      <c r="J242" s="7">
        <f>E242*0.16%</f>
        <v>4.8000000000000001E-2</v>
      </c>
      <c r="K242" s="7">
        <v>0</v>
      </c>
      <c r="L242" s="7">
        <v>0</v>
      </c>
      <c r="M242" s="7">
        <f>E242*23%</f>
        <v>6.9</v>
      </c>
      <c r="N242" s="7">
        <f>E242*87%</f>
        <v>26.1</v>
      </c>
      <c r="O242" s="7">
        <f>E242*33%</f>
        <v>9.9</v>
      </c>
      <c r="P242" s="7">
        <f>E242*2%</f>
        <v>0.6</v>
      </c>
      <c r="Q242" s="7">
        <v>50</v>
      </c>
      <c r="R242" s="7">
        <f>C242/1000*50</f>
        <v>1.5</v>
      </c>
    </row>
    <row r="243" spans="1:18" ht="21" x14ac:dyDescent="0.35">
      <c r="A243" s="36"/>
      <c r="B243" s="157" t="s">
        <v>110</v>
      </c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5"/>
    </row>
    <row r="244" spans="1:18" ht="18.75" x14ac:dyDescent="0.3">
      <c r="A244" s="36"/>
      <c r="B244" s="4" t="s">
        <v>52</v>
      </c>
      <c r="C244" s="4">
        <v>1</v>
      </c>
      <c r="D244" s="4">
        <v>0</v>
      </c>
      <c r="E244" s="4">
        <f>C244-D244</f>
        <v>1</v>
      </c>
      <c r="F244" s="4">
        <f>E244*21.74%</f>
        <v>0.21739999999999998</v>
      </c>
      <c r="G244" s="4">
        <f>E244*7.61%</f>
        <v>7.6100000000000001E-2</v>
      </c>
      <c r="H244" s="4">
        <f>E244*2.86%</f>
        <v>2.86E-2</v>
      </c>
      <c r="I244" s="4">
        <f>E244*9.18%</f>
        <v>9.1799999999999993E-2</v>
      </c>
      <c r="J244" s="4">
        <f>E244*4.7%</f>
        <v>4.7E-2</v>
      </c>
      <c r="K244" s="4">
        <f>E244*11%</f>
        <v>0.11</v>
      </c>
      <c r="L244" s="4">
        <f>E244*5.6%</f>
        <v>5.5999999999999994E-2</v>
      </c>
      <c r="M244" s="4">
        <f>E244*50%</f>
        <v>0.5</v>
      </c>
      <c r="N244" s="4">
        <f>E244*10%</f>
        <v>0.1</v>
      </c>
      <c r="O244" s="4">
        <f>E244*110%</f>
        <v>1.1000000000000001</v>
      </c>
      <c r="P244" s="4">
        <f>E244*456%</f>
        <v>4.5599999999999996</v>
      </c>
      <c r="Q244" s="4">
        <v>950</v>
      </c>
      <c r="R244" s="4">
        <f>C244/1000*950</f>
        <v>0.95000000000000007</v>
      </c>
    </row>
    <row r="245" spans="1:18" ht="18.75" x14ac:dyDescent="0.3">
      <c r="A245" s="36"/>
      <c r="B245" s="4" t="s">
        <v>68</v>
      </c>
      <c r="C245" s="4">
        <v>15</v>
      </c>
      <c r="D245" s="4">
        <v>0</v>
      </c>
      <c r="E245" s="4">
        <v>15</v>
      </c>
      <c r="F245" s="4">
        <v>0</v>
      </c>
      <c r="G245" s="4">
        <v>0</v>
      </c>
      <c r="H245" s="4">
        <f>E245*99.8%</f>
        <v>14.97</v>
      </c>
      <c r="I245" s="4">
        <f>E245*379%</f>
        <v>56.85</v>
      </c>
      <c r="J245" s="4">
        <v>0</v>
      </c>
      <c r="K245" s="4">
        <v>0</v>
      </c>
      <c r="L245" s="4">
        <v>0</v>
      </c>
      <c r="M245" s="4">
        <f>E245*2%</f>
        <v>0.3</v>
      </c>
      <c r="N245" s="4">
        <v>0</v>
      </c>
      <c r="O245" s="4">
        <v>0</v>
      </c>
      <c r="P245" s="4">
        <f>E245*0.3%</f>
        <v>4.4999999999999998E-2</v>
      </c>
      <c r="Q245" s="4">
        <v>60</v>
      </c>
      <c r="R245" s="4">
        <f>C245/1000*60</f>
        <v>0.89999999999999991</v>
      </c>
    </row>
    <row r="246" spans="1:18" ht="18.75" x14ac:dyDescent="0.3">
      <c r="A246" s="36"/>
      <c r="B246" s="33" t="s">
        <v>69</v>
      </c>
      <c r="C246" s="7">
        <v>16</v>
      </c>
      <c r="D246" s="7">
        <f>SUM(D245:D245)</f>
        <v>0</v>
      </c>
      <c r="E246" s="7">
        <v>150</v>
      </c>
      <c r="F246" s="7">
        <f t="shared" ref="F246:P246" si="34">SUM(F245:F245)</f>
        <v>0</v>
      </c>
      <c r="G246" s="7">
        <f t="shared" si="34"/>
        <v>0</v>
      </c>
      <c r="H246" s="7">
        <f t="shared" si="34"/>
        <v>14.97</v>
      </c>
      <c r="I246" s="7">
        <f t="shared" si="34"/>
        <v>56.85</v>
      </c>
      <c r="J246" s="7">
        <f t="shared" si="34"/>
        <v>0</v>
      </c>
      <c r="K246" s="7">
        <f t="shared" si="34"/>
        <v>0</v>
      </c>
      <c r="L246" s="7">
        <f t="shared" si="34"/>
        <v>0</v>
      </c>
      <c r="M246" s="7">
        <f t="shared" si="34"/>
        <v>0.3</v>
      </c>
      <c r="N246" s="7">
        <f t="shared" si="34"/>
        <v>0</v>
      </c>
      <c r="O246" s="7">
        <f t="shared" si="34"/>
        <v>0</v>
      </c>
      <c r="P246" s="7">
        <f t="shared" si="34"/>
        <v>4.4999999999999998E-2</v>
      </c>
      <c r="Q246" s="7"/>
      <c r="R246" s="7">
        <f>SUM(R244:R245)</f>
        <v>1.85</v>
      </c>
    </row>
    <row r="247" spans="1:18" ht="18.75" x14ac:dyDescent="0.3">
      <c r="A247" s="36"/>
      <c r="B247" s="167" t="s">
        <v>117</v>
      </c>
      <c r="C247" s="237"/>
      <c r="D247" s="237"/>
      <c r="E247" s="237"/>
      <c r="F247" s="237"/>
      <c r="G247" s="237"/>
      <c r="H247" s="237"/>
      <c r="I247" s="237"/>
      <c r="J247" s="237"/>
      <c r="K247" s="237"/>
      <c r="L247" s="237"/>
      <c r="M247" s="237"/>
      <c r="N247" s="237"/>
      <c r="O247" s="237"/>
      <c r="P247" s="237"/>
      <c r="Q247" s="237"/>
      <c r="R247" s="238"/>
    </row>
    <row r="248" spans="1:18" ht="18.75" x14ac:dyDescent="0.3">
      <c r="A248" s="36"/>
      <c r="B248" s="33" t="s">
        <v>69</v>
      </c>
      <c r="C248" s="7">
        <v>40</v>
      </c>
      <c r="D248" s="7">
        <v>0</v>
      </c>
      <c r="E248" s="7">
        <f>C248-D248</f>
        <v>40</v>
      </c>
      <c r="F248" s="4">
        <f>E248*7.5%</f>
        <v>3</v>
      </c>
      <c r="G248" s="4">
        <f>E248*11.8%</f>
        <v>4.7200000000000006</v>
      </c>
      <c r="H248" s="4">
        <f>E248*74.4%</f>
        <v>29.760000000000005</v>
      </c>
      <c r="I248" s="4">
        <f>E248*436%</f>
        <v>174.4</v>
      </c>
      <c r="J248" s="4">
        <f>E248*0.08%</f>
        <v>3.2000000000000001E-2</v>
      </c>
      <c r="K248" s="4">
        <f>E248*0%</f>
        <v>0</v>
      </c>
      <c r="L248" s="4">
        <f>E248*0%</f>
        <v>0</v>
      </c>
      <c r="M248" s="4">
        <f>E248*29%</f>
        <v>11.6</v>
      </c>
      <c r="N248" s="4">
        <f>E248*90%</f>
        <v>36</v>
      </c>
      <c r="O248" s="4">
        <f>E248*20%</f>
        <v>8</v>
      </c>
      <c r="P248" s="4">
        <f>E248*2.1%</f>
        <v>0.84000000000000008</v>
      </c>
      <c r="Q248" s="4">
        <v>160</v>
      </c>
      <c r="R248" s="7">
        <f>C248/1000*160</f>
        <v>6.4</v>
      </c>
    </row>
    <row r="249" spans="1:18" ht="21" x14ac:dyDescent="0.35">
      <c r="A249" s="36"/>
      <c r="B249" s="157" t="s">
        <v>114</v>
      </c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5"/>
    </row>
    <row r="250" spans="1:18" ht="18.75" x14ac:dyDescent="0.3">
      <c r="A250" s="36"/>
      <c r="B250" s="33" t="s">
        <v>69</v>
      </c>
      <c r="C250" s="7">
        <v>100</v>
      </c>
      <c r="D250" s="7">
        <v>0</v>
      </c>
      <c r="E250" s="7">
        <f>C250-D250</f>
        <v>100</v>
      </c>
      <c r="F250" s="7">
        <f>E250*0.4%</f>
        <v>0.4</v>
      </c>
      <c r="G250" s="7">
        <f>E250*0.4%</f>
        <v>0.4</v>
      </c>
      <c r="H250" s="7">
        <f>E250*9.8%</f>
        <v>9.8000000000000007</v>
      </c>
      <c r="I250" s="7">
        <f>E250*45%</f>
        <v>45</v>
      </c>
      <c r="J250" s="7">
        <f>E250*0.03%</f>
        <v>0.03</v>
      </c>
      <c r="K250" s="7">
        <f>E250*13%</f>
        <v>13</v>
      </c>
      <c r="L250" s="7">
        <v>0</v>
      </c>
      <c r="M250" s="7">
        <f>E250*16%</f>
        <v>16</v>
      </c>
      <c r="N250" s="7">
        <f>E250*11%</f>
        <v>11</v>
      </c>
      <c r="O250" s="7">
        <f>E250*9%</f>
        <v>9</v>
      </c>
      <c r="P250" s="7">
        <f>E250*2.2%</f>
        <v>2.2000000000000002</v>
      </c>
      <c r="Q250" s="7">
        <v>100</v>
      </c>
      <c r="R250" s="7">
        <f>C250/1000*100</f>
        <v>10</v>
      </c>
    </row>
    <row r="251" spans="1:18" ht="21" x14ac:dyDescent="0.35">
      <c r="A251" s="36"/>
      <c r="B251" s="162" t="s">
        <v>107</v>
      </c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4"/>
    </row>
    <row r="252" spans="1:18" ht="18.75" x14ac:dyDescent="0.3">
      <c r="A252" s="36"/>
      <c r="B252" s="33" t="s">
        <v>69</v>
      </c>
      <c r="C252" s="27">
        <v>3</v>
      </c>
      <c r="D252" s="7">
        <v>0</v>
      </c>
      <c r="E252" s="27">
        <f>C252-D252</f>
        <v>3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20</v>
      </c>
      <c r="R252" s="27">
        <f>C252/1000*20</f>
        <v>0.06</v>
      </c>
    </row>
    <row r="253" spans="1:18" ht="23.25" x14ac:dyDescent="0.35">
      <c r="A253" s="38"/>
      <c r="B253" s="25" t="s">
        <v>69</v>
      </c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>
        <f>R252+R250+R248+R246+R242+R240+R233</f>
        <v>61.010999999999996</v>
      </c>
    </row>
    <row r="254" spans="1:18" ht="40.5" customHeight="1" x14ac:dyDescent="0.35">
      <c r="A254" s="39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</row>
    <row r="255" spans="1:18" ht="40.5" customHeight="1" x14ac:dyDescent="0.35">
      <c r="A255" s="39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</row>
    <row r="256" spans="1:18" ht="15.75" x14ac:dyDescent="0.25">
      <c r="A256" s="128"/>
      <c r="B256" s="139" t="s">
        <v>0</v>
      </c>
      <c r="C256" s="146" t="s">
        <v>18</v>
      </c>
      <c r="D256" s="143" t="s">
        <v>20</v>
      </c>
      <c r="E256" s="143" t="s">
        <v>19</v>
      </c>
      <c r="F256" s="125" t="s">
        <v>1</v>
      </c>
      <c r="G256" s="125" t="s">
        <v>2</v>
      </c>
      <c r="H256" s="125" t="s">
        <v>3</v>
      </c>
      <c r="I256" s="125" t="s">
        <v>4</v>
      </c>
      <c r="J256" s="140" t="s">
        <v>5</v>
      </c>
      <c r="K256" s="140"/>
      <c r="L256" s="140"/>
      <c r="M256" s="140" t="s">
        <v>6</v>
      </c>
      <c r="N256" s="140"/>
      <c r="O256" s="140"/>
      <c r="P256" s="140"/>
      <c r="Q256" s="136" t="s">
        <v>66</v>
      </c>
      <c r="R256" s="231" t="s">
        <v>121</v>
      </c>
    </row>
    <row r="257" spans="1:18" ht="20.25" customHeight="1" x14ac:dyDescent="0.25">
      <c r="A257" s="129"/>
      <c r="B257" s="139"/>
      <c r="C257" s="147"/>
      <c r="D257" s="144"/>
      <c r="E257" s="144"/>
      <c r="F257" s="126"/>
      <c r="G257" s="126"/>
      <c r="H257" s="126"/>
      <c r="I257" s="126"/>
      <c r="J257" s="125" t="s">
        <v>7</v>
      </c>
      <c r="K257" s="141" t="s">
        <v>8</v>
      </c>
      <c r="L257" s="125" t="s">
        <v>9</v>
      </c>
      <c r="M257" s="125" t="s">
        <v>10</v>
      </c>
      <c r="N257" s="125" t="s">
        <v>11</v>
      </c>
      <c r="O257" s="125" t="s">
        <v>12</v>
      </c>
      <c r="P257" s="125" t="s">
        <v>13</v>
      </c>
      <c r="Q257" s="137"/>
      <c r="R257" s="232"/>
    </row>
    <row r="258" spans="1:18" ht="21.75" customHeight="1" x14ac:dyDescent="0.3">
      <c r="A258" s="35"/>
      <c r="B258" s="2" t="s">
        <v>88</v>
      </c>
      <c r="C258" s="148"/>
      <c r="D258" s="145"/>
      <c r="E258" s="145"/>
      <c r="F258" s="127"/>
      <c r="G258" s="127"/>
      <c r="H258" s="127"/>
      <c r="I258" s="127"/>
      <c r="J258" s="127"/>
      <c r="K258" s="142"/>
      <c r="L258" s="127"/>
      <c r="M258" s="127"/>
      <c r="N258" s="127"/>
      <c r="O258" s="127"/>
      <c r="P258" s="127"/>
      <c r="Q258" s="138"/>
      <c r="R258" s="233"/>
    </row>
    <row r="259" spans="1:18" ht="23.25" customHeight="1" x14ac:dyDescent="0.3">
      <c r="A259" s="26"/>
      <c r="B259" s="252" t="s">
        <v>140</v>
      </c>
      <c r="C259" s="253"/>
      <c r="D259" s="253"/>
      <c r="E259" s="253"/>
      <c r="F259" s="253"/>
      <c r="G259" s="253"/>
      <c r="H259" s="253"/>
      <c r="I259" s="253"/>
      <c r="J259" s="253"/>
      <c r="K259" s="253"/>
      <c r="L259" s="253"/>
      <c r="M259" s="253"/>
      <c r="N259" s="253"/>
      <c r="O259" s="253"/>
      <c r="P259" s="253"/>
      <c r="Q259" s="253"/>
      <c r="R259" s="254"/>
    </row>
    <row r="260" spans="1:18" ht="28.5" customHeight="1" x14ac:dyDescent="0.3">
      <c r="A260" s="26"/>
      <c r="B260" s="3" t="s">
        <v>89</v>
      </c>
      <c r="C260" s="4">
        <v>60</v>
      </c>
      <c r="D260" s="4">
        <v>0</v>
      </c>
      <c r="E260" s="4">
        <f>C260-D260</f>
        <v>60</v>
      </c>
      <c r="F260" s="4">
        <f>E260*2.8%</f>
        <v>1.6799999999999997</v>
      </c>
      <c r="G260" s="4">
        <f>E260*3.2%</f>
        <v>1.92</v>
      </c>
      <c r="H260" s="4">
        <f>E260*4.7%</f>
        <v>2.82</v>
      </c>
      <c r="I260" s="4">
        <f>E260*58%</f>
        <v>34.799999999999997</v>
      </c>
      <c r="J260" s="4">
        <f>E260*0.04</f>
        <v>2.4</v>
      </c>
      <c r="K260" s="4">
        <f>E260*1.3%</f>
        <v>0.78</v>
      </c>
      <c r="L260" s="4">
        <f>E260*0.01%</f>
        <v>6.0000000000000001E-3</v>
      </c>
      <c r="M260" s="4">
        <f>E260*120%</f>
        <v>72</v>
      </c>
      <c r="N260" s="4">
        <f>E260*90%</f>
        <v>54</v>
      </c>
      <c r="O260" s="4">
        <f>E260*14%</f>
        <v>8.4</v>
      </c>
      <c r="P260" s="4">
        <f>E260*0.06%</f>
        <v>3.5999999999999997E-2</v>
      </c>
      <c r="Q260" s="4">
        <v>110</v>
      </c>
      <c r="R260" s="31">
        <f>C260/1000*110</f>
        <v>6.6</v>
      </c>
    </row>
    <row r="261" spans="1:18" ht="18.75" x14ac:dyDescent="0.3">
      <c r="A261" s="26"/>
      <c r="B261" s="3" t="s">
        <v>24</v>
      </c>
      <c r="C261" s="4">
        <v>47</v>
      </c>
      <c r="D261" s="4">
        <v>0</v>
      </c>
      <c r="E261" s="4">
        <f>SUM(C261:D261)</f>
        <v>47</v>
      </c>
      <c r="F261" s="4">
        <f>E261*7%</f>
        <v>3.2900000000000005</v>
      </c>
      <c r="G261" s="4">
        <f>E261*1%</f>
        <v>0.47000000000000003</v>
      </c>
      <c r="H261" s="4">
        <f>E261*71.4%</f>
        <v>33.558000000000007</v>
      </c>
      <c r="I261" s="4">
        <f>E261*330%</f>
        <v>155.1</v>
      </c>
      <c r="J261" s="4">
        <f>E261*0.08%</f>
        <v>3.7600000000000001E-2</v>
      </c>
      <c r="K261" s="4">
        <v>0</v>
      </c>
      <c r="L261" s="4">
        <v>0</v>
      </c>
      <c r="M261" s="4">
        <f>E261*8%</f>
        <v>3.7600000000000002</v>
      </c>
      <c r="N261" s="4">
        <f>E261*150%</f>
        <v>70.5</v>
      </c>
      <c r="O261" s="4">
        <f>E261*50%</f>
        <v>23.5</v>
      </c>
      <c r="P261" s="4">
        <f>E261*1%</f>
        <v>0.47000000000000003</v>
      </c>
      <c r="Q261" s="4">
        <v>75</v>
      </c>
      <c r="R261" s="4">
        <f>C261/1000*75</f>
        <v>3.5249999999999999</v>
      </c>
    </row>
    <row r="262" spans="1:18" ht="18.75" x14ac:dyDescent="0.3">
      <c r="A262" s="26"/>
      <c r="B262" s="3" t="s">
        <v>22</v>
      </c>
      <c r="C262" s="4">
        <v>10</v>
      </c>
      <c r="D262" s="4">
        <v>0</v>
      </c>
      <c r="E262" s="4">
        <f>C262-D262</f>
        <v>10</v>
      </c>
      <c r="F262" s="4">
        <f>E262*0.5%</f>
        <v>0.05</v>
      </c>
      <c r="G262" s="4">
        <f>E262*82.5%</f>
        <v>8.25</v>
      </c>
      <c r="H262" s="4">
        <f>E262*0.8%</f>
        <v>0.08</v>
      </c>
      <c r="I262" s="4">
        <f>E262*748%</f>
        <v>74.800000000000011</v>
      </c>
      <c r="J262" s="4">
        <v>0</v>
      </c>
      <c r="K262" s="4">
        <v>0</v>
      </c>
      <c r="L262" s="4">
        <f>E262*0.59%</f>
        <v>5.8999999999999997E-2</v>
      </c>
      <c r="M262" s="4">
        <f>E262*12%</f>
        <v>1.2</v>
      </c>
      <c r="N262" s="4">
        <f>E262*19%</f>
        <v>1.9</v>
      </c>
      <c r="O262" s="4">
        <f>E262*0.4%</f>
        <v>0.04</v>
      </c>
      <c r="P262" s="4">
        <f>E262*0.2%</f>
        <v>0.02</v>
      </c>
      <c r="Q262" s="4">
        <v>480</v>
      </c>
      <c r="R262" s="24">
        <f>C262/1000*480</f>
        <v>4.8</v>
      </c>
    </row>
    <row r="263" spans="1:18" ht="20.25" customHeight="1" x14ac:dyDescent="0.3">
      <c r="A263" s="26"/>
      <c r="B263" s="26" t="s">
        <v>69</v>
      </c>
      <c r="C263" s="7">
        <v>110</v>
      </c>
      <c r="D263" s="7">
        <v>0</v>
      </c>
      <c r="E263" s="7">
        <v>200</v>
      </c>
      <c r="F263" s="7">
        <f t="shared" ref="F263:P263" si="35">SUM(F261:F262)</f>
        <v>3.3400000000000003</v>
      </c>
      <c r="G263" s="7">
        <f t="shared" si="35"/>
        <v>8.7200000000000006</v>
      </c>
      <c r="H263" s="7">
        <f t="shared" si="35"/>
        <v>33.638000000000005</v>
      </c>
      <c r="I263" s="7">
        <f t="shared" si="35"/>
        <v>229.9</v>
      </c>
      <c r="J263" s="7">
        <f t="shared" si="35"/>
        <v>3.7600000000000001E-2</v>
      </c>
      <c r="K263" s="7">
        <f t="shared" si="35"/>
        <v>0</v>
      </c>
      <c r="L263" s="7">
        <f t="shared" si="35"/>
        <v>5.8999999999999997E-2</v>
      </c>
      <c r="M263" s="7">
        <f t="shared" si="35"/>
        <v>4.96</v>
      </c>
      <c r="N263" s="7">
        <f t="shared" si="35"/>
        <v>72.400000000000006</v>
      </c>
      <c r="O263" s="7">
        <f t="shared" si="35"/>
        <v>23.54</v>
      </c>
      <c r="P263" s="7">
        <f t="shared" si="35"/>
        <v>0.49000000000000005</v>
      </c>
      <c r="Q263" s="7"/>
      <c r="R263" s="7">
        <f>SUM(R260:R262)</f>
        <v>14.925000000000001</v>
      </c>
    </row>
    <row r="264" spans="1:18" ht="18.75" x14ac:dyDescent="0.3">
      <c r="A264" s="26"/>
      <c r="B264" s="149" t="s">
        <v>139</v>
      </c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2"/>
    </row>
    <row r="265" spans="1:18" ht="30" customHeight="1" x14ac:dyDescent="0.3">
      <c r="A265" s="26"/>
      <c r="B265" s="3" t="s">
        <v>89</v>
      </c>
      <c r="C265" s="4">
        <v>60</v>
      </c>
      <c r="D265" s="4">
        <v>0</v>
      </c>
      <c r="E265" s="4">
        <f>C265-D265</f>
        <v>60</v>
      </c>
      <c r="F265" s="4">
        <f>E265*2.8%</f>
        <v>1.6799999999999997</v>
      </c>
      <c r="G265" s="4">
        <f>E265*3.2%</f>
        <v>1.92</v>
      </c>
      <c r="H265" s="4">
        <f>E265*4.7%</f>
        <v>2.82</v>
      </c>
      <c r="I265" s="4">
        <f>E265*58%</f>
        <v>34.799999999999997</v>
      </c>
      <c r="J265" s="4">
        <f>E265*0.04</f>
        <v>2.4</v>
      </c>
      <c r="K265" s="4">
        <f>E265*1.3%</f>
        <v>0.78</v>
      </c>
      <c r="L265" s="4">
        <f>E265*0.01%</f>
        <v>6.0000000000000001E-3</v>
      </c>
      <c r="M265" s="4">
        <f>E265*120%</f>
        <v>72</v>
      </c>
      <c r="N265" s="4">
        <f>E265*90%</f>
        <v>54</v>
      </c>
      <c r="O265" s="4">
        <f>E265*14%</f>
        <v>8.4</v>
      </c>
      <c r="P265" s="4">
        <f>E265*0.06%</f>
        <v>3.5999999999999997E-2</v>
      </c>
      <c r="Q265" s="4">
        <v>110</v>
      </c>
      <c r="R265" s="31">
        <f>C265/1000*110</f>
        <v>6.6</v>
      </c>
    </row>
    <row r="266" spans="1:18" ht="18.75" x14ac:dyDescent="0.3">
      <c r="A266" s="26"/>
      <c r="B266" s="4" t="s">
        <v>68</v>
      </c>
      <c r="C266" s="4">
        <v>15</v>
      </c>
      <c r="D266" s="4">
        <v>0</v>
      </c>
      <c r="E266" s="4">
        <f>C266-D266</f>
        <v>15</v>
      </c>
      <c r="F266" s="4">
        <v>0</v>
      </c>
      <c r="G266" s="4">
        <v>0</v>
      </c>
      <c r="H266" s="4">
        <f>E266*99.8%</f>
        <v>14.97</v>
      </c>
      <c r="I266" s="4">
        <f>E266*379%</f>
        <v>56.85</v>
      </c>
      <c r="J266" s="4">
        <v>0</v>
      </c>
      <c r="K266" s="4">
        <v>0</v>
      </c>
      <c r="L266" s="4">
        <v>0</v>
      </c>
      <c r="M266" s="4">
        <f>E266*2%</f>
        <v>0.3</v>
      </c>
      <c r="N266" s="4">
        <v>0</v>
      </c>
      <c r="O266" s="4">
        <v>0</v>
      </c>
      <c r="P266" s="4">
        <f>E266*0.3%</f>
        <v>4.4999999999999998E-2</v>
      </c>
      <c r="Q266" s="4">
        <v>60</v>
      </c>
      <c r="R266" s="4">
        <f>C266/1000*60</f>
        <v>0.89999999999999991</v>
      </c>
    </row>
    <row r="267" spans="1:18" ht="21" customHeight="1" x14ac:dyDescent="0.3">
      <c r="A267" s="26"/>
      <c r="B267" s="31" t="s">
        <v>90</v>
      </c>
      <c r="C267" s="29">
        <v>1</v>
      </c>
      <c r="D267" s="29">
        <v>0</v>
      </c>
      <c r="E267" s="29">
        <f>C267-D267</f>
        <v>1</v>
      </c>
      <c r="F267" s="29">
        <f>E267*24.2%</f>
        <v>0.24199999999999999</v>
      </c>
      <c r="G267" s="29">
        <f>E267*17.5%</f>
        <v>0.17499999999999999</v>
      </c>
      <c r="H267" s="29">
        <f>E267*27.9%</f>
        <v>0.27899999999999997</v>
      </c>
      <c r="I267" s="29">
        <f>E267*380%</f>
        <v>3.8</v>
      </c>
      <c r="J267" s="29">
        <f>E267*0.1%</f>
        <v>1E-3</v>
      </c>
      <c r="K267" s="29">
        <v>0</v>
      </c>
      <c r="L267" s="29">
        <f>E267*0.02%</f>
        <v>2.0000000000000001E-4</v>
      </c>
      <c r="M267" s="29">
        <f>E267*55%</f>
        <v>0.55000000000000004</v>
      </c>
      <c r="N267" s="29">
        <f>E267*655%</f>
        <v>6.55</v>
      </c>
      <c r="O267" s="29">
        <f>E267*191%</f>
        <v>1.91</v>
      </c>
      <c r="P267" s="29">
        <f>E267*14.8%</f>
        <v>0.14800000000000002</v>
      </c>
      <c r="Q267" s="29">
        <v>850</v>
      </c>
      <c r="R267" s="29">
        <f>C267/1000*850</f>
        <v>0.85</v>
      </c>
    </row>
    <row r="268" spans="1:18" ht="18.75" x14ac:dyDescent="0.3">
      <c r="A268" s="36"/>
      <c r="B268" s="33" t="s">
        <v>69</v>
      </c>
      <c r="C268" s="7">
        <v>115</v>
      </c>
      <c r="D268" s="7">
        <f>SUM(D264:D267)</f>
        <v>0</v>
      </c>
      <c r="E268" s="7">
        <v>150</v>
      </c>
      <c r="F268" s="7">
        <f t="shared" ref="F268:P268" si="36">SUM(F264:F267)</f>
        <v>1.9219999999999997</v>
      </c>
      <c r="G268" s="7">
        <f t="shared" si="36"/>
        <v>2.0949999999999998</v>
      </c>
      <c r="H268" s="7">
        <f t="shared" si="36"/>
        <v>18.068999999999999</v>
      </c>
      <c r="I268" s="7">
        <f t="shared" si="36"/>
        <v>95.45</v>
      </c>
      <c r="J268" s="7">
        <f t="shared" si="36"/>
        <v>2.4009999999999998</v>
      </c>
      <c r="K268" s="7">
        <f t="shared" si="36"/>
        <v>0.78</v>
      </c>
      <c r="L268" s="7">
        <f t="shared" si="36"/>
        <v>6.1999999999999998E-3</v>
      </c>
      <c r="M268" s="7">
        <f t="shared" si="36"/>
        <v>72.849999999999994</v>
      </c>
      <c r="N268" s="7">
        <f t="shared" si="36"/>
        <v>60.55</v>
      </c>
      <c r="O268" s="7">
        <f t="shared" si="36"/>
        <v>10.31</v>
      </c>
      <c r="P268" s="7">
        <f t="shared" si="36"/>
        <v>0.22900000000000001</v>
      </c>
      <c r="Q268" s="7"/>
      <c r="R268" s="7">
        <f>SUM(R265:R267)</f>
        <v>8.35</v>
      </c>
    </row>
    <row r="269" spans="1:18" ht="23.25" customHeight="1" x14ac:dyDescent="0.3">
      <c r="A269" s="36"/>
      <c r="B269" s="133" t="s">
        <v>109</v>
      </c>
      <c r="C269" s="219"/>
      <c r="D269" s="219"/>
      <c r="E269" s="219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20"/>
    </row>
    <row r="270" spans="1:18" ht="18.75" x14ac:dyDescent="0.3">
      <c r="A270" s="36"/>
      <c r="B270" s="33" t="s">
        <v>69</v>
      </c>
      <c r="C270" s="7">
        <v>50</v>
      </c>
      <c r="D270" s="7">
        <v>0</v>
      </c>
      <c r="E270" s="7">
        <v>50</v>
      </c>
      <c r="F270" s="7">
        <f>E270*7.9%</f>
        <v>3.95</v>
      </c>
      <c r="G270" s="7">
        <f>E270*1%</f>
        <v>0.5</v>
      </c>
      <c r="H270" s="7">
        <f>E270*48.1%</f>
        <v>24.05</v>
      </c>
      <c r="I270" s="7">
        <f>E270*239%</f>
        <v>119.5</v>
      </c>
      <c r="J270" s="7">
        <f>E270*0.16%</f>
        <v>0.08</v>
      </c>
      <c r="K270" s="7">
        <v>0</v>
      </c>
      <c r="L270" s="7">
        <v>0</v>
      </c>
      <c r="M270" s="7">
        <f>E270*23%</f>
        <v>11.5</v>
      </c>
      <c r="N270" s="7">
        <f>E270*87%</f>
        <v>43.5</v>
      </c>
      <c r="O270" s="7">
        <f>E270*33%</f>
        <v>16.5</v>
      </c>
      <c r="P270" s="7">
        <f>E270*2%</f>
        <v>1</v>
      </c>
      <c r="Q270" s="7">
        <v>50</v>
      </c>
      <c r="R270" s="7">
        <f>C270/1000*50</f>
        <v>2.5</v>
      </c>
    </row>
    <row r="271" spans="1:18" ht="21" customHeight="1" x14ac:dyDescent="0.3">
      <c r="A271" s="36"/>
      <c r="B271" s="133" t="s">
        <v>118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5"/>
    </row>
    <row r="272" spans="1:18" ht="18.75" x14ac:dyDescent="0.3">
      <c r="A272" s="37"/>
      <c r="B272" s="33" t="s">
        <v>69</v>
      </c>
      <c r="C272" s="4">
        <v>50</v>
      </c>
      <c r="D272" s="4">
        <v>0</v>
      </c>
      <c r="E272" s="4">
        <f>C272-D272</f>
        <v>50</v>
      </c>
      <c r="F272" s="4">
        <f>E272*12.5%</f>
        <v>6.25</v>
      </c>
      <c r="G272" s="4">
        <f>E272*11.5%</f>
        <v>5.75</v>
      </c>
      <c r="H272" s="4">
        <f>E272*0.7%</f>
        <v>0.35</v>
      </c>
      <c r="I272" s="4">
        <f>E272*157%</f>
        <v>78.5</v>
      </c>
      <c r="J272" s="4">
        <f>E272*0.07%</f>
        <v>3.5000000000000003E-2</v>
      </c>
      <c r="K272" s="4">
        <f>E272*0%</f>
        <v>0</v>
      </c>
      <c r="L272" s="4">
        <f>E272*0.25%</f>
        <v>0.125</v>
      </c>
      <c r="M272" s="4">
        <f>E272*55%</f>
        <v>27.500000000000004</v>
      </c>
      <c r="N272" s="4">
        <f>E272*192%</f>
        <v>96</v>
      </c>
      <c r="O272" s="4">
        <f>E272*12%</f>
        <v>6</v>
      </c>
      <c r="P272" s="4">
        <f>E272*2.5%</f>
        <v>1.25</v>
      </c>
      <c r="Q272" s="4">
        <v>200</v>
      </c>
      <c r="R272" s="7">
        <f>C272/1000*200</f>
        <v>10</v>
      </c>
    </row>
    <row r="273" spans="1:18" ht="21.75" customHeight="1" x14ac:dyDescent="0.3">
      <c r="A273" s="36"/>
      <c r="B273" s="133" t="s">
        <v>117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5"/>
    </row>
    <row r="274" spans="1:18" ht="18.75" x14ac:dyDescent="0.3">
      <c r="A274" s="36"/>
      <c r="B274" s="33" t="s">
        <v>69</v>
      </c>
      <c r="C274" s="7">
        <v>40</v>
      </c>
      <c r="D274" s="7">
        <v>0</v>
      </c>
      <c r="E274" s="7">
        <f>C274-D274</f>
        <v>40</v>
      </c>
      <c r="F274" s="4">
        <f>E274*7.5%</f>
        <v>3</v>
      </c>
      <c r="G274" s="4">
        <f>E274*11.8%</f>
        <v>4.7200000000000006</v>
      </c>
      <c r="H274" s="4">
        <f>E274*74.4%</f>
        <v>29.760000000000005</v>
      </c>
      <c r="I274" s="4">
        <f>E274*436%</f>
        <v>174.4</v>
      </c>
      <c r="J274" s="4">
        <f>E274*0.08%</f>
        <v>3.2000000000000001E-2</v>
      </c>
      <c r="K274" s="4">
        <f>E274*0%</f>
        <v>0</v>
      </c>
      <c r="L274" s="4">
        <f>E274*0%</f>
        <v>0</v>
      </c>
      <c r="M274" s="4">
        <f>E274*29%</f>
        <v>11.6</v>
      </c>
      <c r="N274" s="4">
        <f>E274*90%</f>
        <v>36</v>
      </c>
      <c r="O274" s="4">
        <f>E274*20%</f>
        <v>8</v>
      </c>
      <c r="P274" s="4">
        <f>E274*2.1%</f>
        <v>0.84000000000000008</v>
      </c>
      <c r="Q274" s="4">
        <v>160</v>
      </c>
      <c r="R274" s="7">
        <f>C274/1000*160</f>
        <v>6.4</v>
      </c>
    </row>
    <row r="275" spans="1:18" ht="18.75" x14ac:dyDescent="0.3">
      <c r="A275" s="36"/>
      <c r="B275" s="133" t="s">
        <v>106</v>
      </c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5"/>
    </row>
    <row r="276" spans="1:18" ht="18.75" x14ac:dyDescent="0.3">
      <c r="A276" s="36"/>
      <c r="B276" s="33" t="s">
        <v>69</v>
      </c>
      <c r="C276" s="7">
        <v>125</v>
      </c>
      <c r="D276" s="7">
        <v>0</v>
      </c>
      <c r="E276" s="7">
        <f>C276-D276</f>
        <v>125</v>
      </c>
      <c r="F276" s="7">
        <f>E276*1.5%</f>
        <v>1.875</v>
      </c>
      <c r="G276" s="7">
        <f>E276*0.5%</f>
        <v>0.625</v>
      </c>
      <c r="H276" s="7">
        <f>E276*21%</f>
        <v>26.25</v>
      </c>
      <c r="I276" s="7">
        <f>E276*96%</f>
        <v>120</v>
      </c>
      <c r="J276" s="7">
        <v>0</v>
      </c>
      <c r="K276" s="7">
        <v>8.6999999999999993</v>
      </c>
      <c r="L276" s="7">
        <v>3</v>
      </c>
      <c r="M276" s="7">
        <v>5</v>
      </c>
      <c r="N276" s="7">
        <v>22</v>
      </c>
      <c r="O276" s="7">
        <v>27</v>
      </c>
      <c r="P276" s="7">
        <v>0.3</v>
      </c>
      <c r="Q276" s="7">
        <v>150</v>
      </c>
      <c r="R276" s="7">
        <f>C276/1000*150</f>
        <v>18.75</v>
      </c>
    </row>
    <row r="277" spans="1:18" ht="18.75" x14ac:dyDescent="0.3">
      <c r="A277" s="36"/>
      <c r="B277" s="167" t="s">
        <v>107</v>
      </c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4"/>
    </row>
    <row r="278" spans="1:18" ht="18.75" x14ac:dyDescent="0.3">
      <c r="A278" s="36"/>
      <c r="B278" s="33" t="s">
        <v>75</v>
      </c>
      <c r="C278" s="27">
        <v>3</v>
      </c>
      <c r="D278" s="7">
        <v>0</v>
      </c>
      <c r="E278" s="27">
        <f>C278-D278</f>
        <v>3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20</v>
      </c>
      <c r="R278" s="27">
        <f>C278/1000*20</f>
        <v>0.06</v>
      </c>
    </row>
    <row r="279" spans="1:18" ht="23.25" x14ac:dyDescent="0.35">
      <c r="A279" s="38"/>
      <c r="B279" s="25" t="s">
        <v>69</v>
      </c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>
        <f>R263+R268+R270+R272+R274+R276+R278</f>
        <v>60.984999999999999</v>
      </c>
    </row>
    <row r="280" spans="1:18" ht="38.25" customHeight="1" x14ac:dyDescent="0.35">
      <c r="A280" s="39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</row>
    <row r="281" spans="1:18" ht="38.25" customHeight="1" x14ac:dyDescent="0.35">
      <c r="A281" s="39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</row>
    <row r="282" spans="1:18" ht="18.75" x14ac:dyDescent="0.3">
      <c r="A282" s="40"/>
      <c r="B282" s="139" t="s">
        <v>0</v>
      </c>
      <c r="C282" s="146" t="s">
        <v>18</v>
      </c>
      <c r="D282" s="143" t="s">
        <v>20</v>
      </c>
      <c r="E282" s="143" t="s">
        <v>19</v>
      </c>
      <c r="F282" s="125" t="s">
        <v>1</v>
      </c>
      <c r="G282" s="125" t="s">
        <v>2</v>
      </c>
      <c r="H282" s="125" t="s">
        <v>3</v>
      </c>
      <c r="I282" s="125" t="s">
        <v>4</v>
      </c>
      <c r="J282" s="140" t="s">
        <v>5</v>
      </c>
      <c r="K282" s="140"/>
      <c r="L282" s="140"/>
      <c r="M282" s="140" t="s">
        <v>6</v>
      </c>
      <c r="N282" s="140"/>
      <c r="O282" s="140"/>
      <c r="P282" s="140"/>
      <c r="Q282" s="136" t="s">
        <v>66</v>
      </c>
      <c r="R282" s="231" t="s">
        <v>121</v>
      </c>
    </row>
    <row r="283" spans="1:18" ht="18.75" x14ac:dyDescent="0.3">
      <c r="A283" s="40"/>
      <c r="B283" s="139"/>
      <c r="C283" s="147"/>
      <c r="D283" s="144"/>
      <c r="E283" s="144"/>
      <c r="F283" s="126"/>
      <c r="G283" s="126"/>
      <c r="H283" s="126"/>
      <c r="I283" s="126"/>
      <c r="J283" s="125" t="s">
        <v>7</v>
      </c>
      <c r="K283" s="141" t="s">
        <v>8</v>
      </c>
      <c r="L283" s="125" t="s">
        <v>9</v>
      </c>
      <c r="M283" s="125" t="s">
        <v>10</v>
      </c>
      <c r="N283" s="125" t="s">
        <v>11</v>
      </c>
      <c r="O283" s="125" t="s">
        <v>12</v>
      </c>
      <c r="P283" s="125" t="s">
        <v>13</v>
      </c>
      <c r="Q283" s="137"/>
      <c r="R283" s="232"/>
    </row>
    <row r="284" spans="1:18" ht="20.25" x14ac:dyDescent="0.3">
      <c r="A284" s="40"/>
      <c r="B284" s="2" t="s">
        <v>91</v>
      </c>
      <c r="C284" s="148"/>
      <c r="D284" s="145"/>
      <c r="E284" s="145"/>
      <c r="F284" s="127"/>
      <c r="G284" s="127"/>
      <c r="H284" s="127"/>
      <c r="I284" s="127"/>
      <c r="J284" s="127"/>
      <c r="K284" s="142"/>
      <c r="L284" s="127"/>
      <c r="M284" s="127"/>
      <c r="N284" s="127"/>
      <c r="O284" s="127"/>
      <c r="P284" s="127"/>
      <c r="Q284" s="138"/>
      <c r="R284" s="233"/>
    </row>
    <row r="285" spans="1:18" ht="20.25" x14ac:dyDescent="0.3">
      <c r="A285" s="40"/>
      <c r="B285" s="199" t="s">
        <v>136</v>
      </c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1"/>
    </row>
    <row r="286" spans="1:18" ht="18.75" x14ac:dyDescent="0.3">
      <c r="A286" s="26"/>
      <c r="B286" s="3" t="s">
        <v>23</v>
      </c>
      <c r="C286" s="4">
        <v>50</v>
      </c>
      <c r="D286" s="4">
        <f>C286*0.26</f>
        <v>13</v>
      </c>
      <c r="E286" s="4">
        <f>SUM(C286-D286)</f>
        <v>37</v>
      </c>
      <c r="F286" s="4">
        <f>E286*18.6%</f>
        <v>6.8820000000000006</v>
      </c>
      <c r="G286" s="4">
        <f>E286*16%</f>
        <v>5.92</v>
      </c>
      <c r="H286" s="4">
        <v>0</v>
      </c>
      <c r="I286" s="4">
        <f>E286*218%</f>
        <v>80.660000000000011</v>
      </c>
      <c r="J286" s="4">
        <f>E286*0.06%</f>
        <v>2.2199999999999998E-2</v>
      </c>
      <c r="K286" s="4">
        <v>0</v>
      </c>
      <c r="L286" s="4">
        <v>0</v>
      </c>
      <c r="M286" s="4">
        <f>E286*9%</f>
        <v>3.33</v>
      </c>
      <c r="N286" s="4">
        <f>E286*188%</f>
        <v>69.56</v>
      </c>
      <c r="O286" s="4">
        <f>E286*22%</f>
        <v>8.14</v>
      </c>
      <c r="P286" s="4">
        <f>E286*2.7%</f>
        <v>0.99900000000000011</v>
      </c>
      <c r="Q286" s="4">
        <v>490</v>
      </c>
      <c r="R286" s="4">
        <f>C286/1000*490</f>
        <v>24.5</v>
      </c>
    </row>
    <row r="287" spans="1:18" ht="18.75" x14ac:dyDescent="0.3">
      <c r="A287" s="26"/>
      <c r="B287" s="3" t="s">
        <v>73</v>
      </c>
      <c r="C287" s="96">
        <v>16</v>
      </c>
      <c r="D287" s="4">
        <f>C287*0.16</f>
        <v>2.56</v>
      </c>
      <c r="E287" s="4">
        <f>C287-D287</f>
        <v>13.44</v>
      </c>
      <c r="F287" s="4">
        <f>E287*1.4%</f>
        <v>0.18815999999999997</v>
      </c>
      <c r="G287">
        <v>0</v>
      </c>
      <c r="H287" s="4">
        <f>E287*9.1%</f>
        <v>1.2230399999999999</v>
      </c>
      <c r="I287" s="4">
        <f>E287*41%</f>
        <v>5.5103999999999997</v>
      </c>
      <c r="J287" s="4">
        <f>E287*0.05%</f>
        <v>6.7200000000000003E-3</v>
      </c>
      <c r="K287" s="4">
        <f>E287*10%</f>
        <v>1.3440000000000001</v>
      </c>
      <c r="L287" s="4">
        <v>0</v>
      </c>
      <c r="M287" s="4">
        <f>E287*31%</f>
        <v>4.1663999999999994</v>
      </c>
      <c r="N287" s="4">
        <f>E287*58%</f>
        <v>7.7951999999999995</v>
      </c>
      <c r="O287" s="4">
        <f>E287*14%</f>
        <v>1.8816000000000002</v>
      </c>
      <c r="P287" s="4">
        <f>E287*0.8%</f>
        <v>0.10752</v>
      </c>
      <c r="Q287" s="4">
        <v>40</v>
      </c>
      <c r="R287" s="4">
        <f>C287/1000*40</f>
        <v>0.64</v>
      </c>
    </row>
    <row r="288" spans="1:18" ht="18.75" x14ac:dyDescent="0.3">
      <c r="A288" s="36"/>
      <c r="B288" s="3" t="s">
        <v>72</v>
      </c>
      <c r="C288" s="4">
        <v>60</v>
      </c>
      <c r="D288" s="4">
        <f>C288*25%</f>
        <v>15</v>
      </c>
      <c r="E288" s="4">
        <f>C288-D288</f>
        <v>45</v>
      </c>
      <c r="F288" s="4">
        <f>E288*2%</f>
        <v>0.9</v>
      </c>
      <c r="G288" s="4">
        <f>E288*0.4%</f>
        <v>0.18</v>
      </c>
      <c r="H288" s="4">
        <f>E288*16.3%</f>
        <v>7.335</v>
      </c>
      <c r="I288" s="4">
        <f>E288*80%</f>
        <v>36</v>
      </c>
      <c r="J288" s="4">
        <f>E288*0.12%</f>
        <v>5.3999999999999992E-2</v>
      </c>
      <c r="K288" s="4">
        <f>E288*20%</f>
        <v>9</v>
      </c>
      <c r="L288" s="4">
        <v>0</v>
      </c>
      <c r="M288" s="4">
        <f>E288*10%</f>
        <v>4.5</v>
      </c>
      <c r="N288" s="4">
        <f>E288*58%</f>
        <v>26.099999999999998</v>
      </c>
      <c r="O288" s="4">
        <f>E288*23%</f>
        <v>10.35</v>
      </c>
      <c r="P288" s="4">
        <f>E288*0.9%</f>
        <v>0.40500000000000003</v>
      </c>
      <c r="Q288" s="4">
        <v>57</v>
      </c>
      <c r="R288" s="4">
        <f>C288/1000*57</f>
        <v>3.42</v>
      </c>
    </row>
    <row r="289" spans="1:18" ht="18.75" x14ac:dyDescent="0.3">
      <c r="A289" s="26"/>
      <c r="B289" s="3" t="s">
        <v>22</v>
      </c>
      <c r="C289" s="4">
        <v>9</v>
      </c>
      <c r="D289" s="4">
        <v>0</v>
      </c>
      <c r="E289" s="4">
        <f>C289-D289</f>
        <v>9</v>
      </c>
      <c r="F289" s="4">
        <f>E289*0.5%</f>
        <v>4.4999999999999998E-2</v>
      </c>
      <c r="G289" s="4">
        <f>E289*82.5%</f>
        <v>7.4249999999999998</v>
      </c>
      <c r="H289" s="4">
        <f>E289*0.8%</f>
        <v>7.2000000000000008E-2</v>
      </c>
      <c r="I289" s="4">
        <f>E289*748%</f>
        <v>67.320000000000007</v>
      </c>
      <c r="J289" s="4">
        <v>0</v>
      </c>
      <c r="K289" s="4">
        <v>0</v>
      </c>
      <c r="L289" s="4">
        <f>E289*0.59%</f>
        <v>5.3100000000000001E-2</v>
      </c>
      <c r="M289" s="4">
        <f>E289*12%</f>
        <v>1.08</v>
      </c>
      <c r="N289" s="4">
        <f>E289*19%</f>
        <v>1.71</v>
      </c>
      <c r="O289" s="4">
        <f>E289*0.4%</f>
        <v>3.6000000000000004E-2</v>
      </c>
      <c r="P289" s="4">
        <f>E289*0.2%</f>
        <v>1.8000000000000002E-2</v>
      </c>
      <c r="Q289" s="4">
        <v>480</v>
      </c>
      <c r="R289" s="24">
        <f>C289/1000*480</f>
        <v>4.3199999999999994</v>
      </c>
    </row>
    <row r="290" spans="1:18" ht="18.75" x14ac:dyDescent="0.3">
      <c r="A290" s="36"/>
      <c r="B290" s="32" t="s">
        <v>69</v>
      </c>
      <c r="C290" s="5">
        <f t="shared" ref="C290:P290" si="37">SUM(C288:C289)</f>
        <v>69</v>
      </c>
      <c r="D290" s="5">
        <f t="shared" si="37"/>
        <v>15</v>
      </c>
      <c r="E290" s="5">
        <f t="shared" si="37"/>
        <v>54</v>
      </c>
      <c r="F290" s="5">
        <f t="shared" si="37"/>
        <v>0.94500000000000006</v>
      </c>
      <c r="G290" s="5">
        <f t="shared" si="37"/>
        <v>7.6049999999999995</v>
      </c>
      <c r="H290" s="5">
        <f t="shared" si="37"/>
        <v>7.407</v>
      </c>
      <c r="I290" s="5">
        <f t="shared" si="37"/>
        <v>103.32000000000001</v>
      </c>
      <c r="J290" s="5">
        <f t="shared" si="37"/>
        <v>5.3999999999999992E-2</v>
      </c>
      <c r="K290" s="5">
        <f t="shared" si="37"/>
        <v>9</v>
      </c>
      <c r="L290" s="5">
        <f t="shared" si="37"/>
        <v>5.3100000000000001E-2</v>
      </c>
      <c r="M290" s="5">
        <f t="shared" si="37"/>
        <v>5.58</v>
      </c>
      <c r="N290" s="5">
        <f t="shared" si="37"/>
        <v>27.81</v>
      </c>
      <c r="O290" s="5">
        <f t="shared" si="37"/>
        <v>10.385999999999999</v>
      </c>
      <c r="P290" s="5">
        <f t="shared" si="37"/>
        <v>0.42300000000000004</v>
      </c>
      <c r="Q290" s="5"/>
      <c r="R290" s="5">
        <f>SUM(R286:R289)</f>
        <v>32.880000000000003</v>
      </c>
    </row>
    <row r="291" spans="1:18" ht="21" x14ac:dyDescent="0.3">
      <c r="A291" s="36"/>
      <c r="B291" s="202" t="s">
        <v>137</v>
      </c>
      <c r="C291" s="203"/>
      <c r="D291" s="203"/>
      <c r="E291" s="203"/>
      <c r="F291" s="203"/>
      <c r="G291" s="203"/>
      <c r="H291" s="203"/>
      <c r="I291" s="203"/>
      <c r="J291" s="203"/>
      <c r="K291" s="203"/>
      <c r="L291" s="203"/>
      <c r="M291" s="203"/>
      <c r="N291" s="203"/>
      <c r="O291" s="203"/>
      <c r="P291" s="203"/>
      <c r="Q291" s="203"/>
      <c r="R291" s="204"/>
    </row>
    <row r="292" spans="1:18" ht="18.75" x14ac:dyDescent="0.3">
      <c r="A292" s="26"/>
      <c r="B292" s="3" t="s">
        <v>73</v>
      </c>
      <c r="C292" s="96">
        <v>20</v>
      </c>
      <c r="D292" s="4">
        <f>C292*0.16</f>
        <v>3.2</v>
      </c>
      <c r="E292" s="4">
        <f>C292-D292</f>
        <v>16.8</v>
      </c>
      <c r="F292" s="4">
        <f>E292*1.4%</f>
        <v>0.23519999999999999</v>
      </c>
      <c r="G292">
        <v>0</v>
      </c>
      <c r="H292" s="4">
        <f>E292*9.1%</f>
        <v>1.5287999999999999</v>
      </c>
      <c r="I292" s="4">
        <f>E292*41%</f>
        <v>6.8879999999999999</v>
      </c>
      <c r="J292" s="4">
        <f>E292*0.05%</f>
        <v>8.4000000000000012E-3</v>
      </c>
      <c r="K292" s="4">
        <f>E292*10%</f>
        <v>1.6800000000000002</v>
      </c>
      <c r="L292" s="4">
        <v>0</v>
      </c>
      <c r="M292" s="4">
        <f>E292*31%</f>
        <v>5.2080000000000002</v>
      </c>
      <c r="N292" s="4">
        <f>E292*58%</f>
        <v>9.7439999999999998</v>
      </c>
      <c r="O292" s="4">
        <f>E292*14%</f>
        <v>2.3520000000000003</v>
      </c>
      <c r="P292" s="4">
        <f>E292*0.8%</f>
        <v>0.13440000000000002</v>
      </c>
      <c r="Q292" s="4">
        <v>40</v>
      </c>
      <c r="R292" s="4">
        <f>C292/1000*40</f>
        <v>0.8</v>
      </c>
    </row>
    <row r="293" spans="1:18" ht="18.75" customHeight="1" x14ac:dyDescent="0.3">
      <c r="A293" s="36"/>
      <c r="B293" s="3" t="s">
        <v>26</v>
      </c>
      <c r="C293" s="96">
        <v>5</v>
      </c>
      <c r="D293" s="4">
        <v>0</v>
      </c>
      <c r="E293" s="4">
        <f>SUM(C293:D293)</f>
        <v>5</v>
      </c>
      <c r="F293" s="4">
        <f>E293*1%</f>
        <v>0.05</v>
      </c>
      <c r="G293" s="4">
        <v>0</v>
      </c>
      <c r="H293" s="4">
        <f>E293*3.5%</f>
        <v>0.17500000000000002</v>
      </c>
      <c r="I293" s="4">
        <f>E293*19%</f>
        <v>0.95</v>
      </c>
      <c r="J293" s="4">
        <f>E293*0.03%</f>
        <v>1.4999999999999998E-3</v>
      </c>
      <c r="K293" s="4">
        <f>E293*10%</f>
        <v>0.5</v>
      </c>
      <c r="L293" s="4">
        <v>0</v>
      </c>
      <c r="M293" s="4">
        <f>C293*7%</f>
        <v>0.35000000000000003</v>
      </c>
      <c r="N293" s="4">
        <f>E293*32%</f>
        <v>1.6</v>
      </c>
      <c r="O293" s="4">
        <f>E293*12%</f>
        <v>0.6</v>
      </c>
      <c r="P293" s="4">
        <f>E293*0.7%</f>
        <v>3.4999999999999996E-2</v>
      </c>
      <c r="Q293" s="4">
        <v>150</v>
      </c>
      <c r="R293" s="4">
        <f>C293/1000*150</f>
        <v>0.75</v>
      </c>
    </row>
    <row r="294" spans="1:18" ht="19.5" customHeight="1" x14ac:dyDescent="0.3">
      <c r="A294" s="36"/>
      <c r="B294" s="1" t="s">
        <v>15</v>
      </c>
      <c r="C294" s="96">
        <v>20</v>
      </c>
      <c r="D294" s="4">
        <f>C294*0.2</f>
        <v>4</v>
      </c>
      <c r="E294" s="4">
        <f>C294-D294</f>
        <v>16</v>
      </c>
      <c r="F294" s="4">
        <f>E294*1.3%</f>
        <v>0.20800000000000002</v>
      </c>
      <c r="G294" s="6">
        <f>E294*0.001</f>
        <v>1.6E-2</v>
      </c>
      <c r="H294" s="4">
        <f>E294*0.072</f>
        <v>1.1519999999999999</v>
      </c>
      <c r="I294" s="4">
        <f>E294*0.3</f>
        <v>4.8</v>
      </c>
      <c r="J294" s="4">
        <f>E294*0.06%</f>
        <v>9.5999999999999992E-3</v>
      </c>
      <c r="K294" s="4">
        <f>E294*5%</f>
        <v>0.8</v>
      </c>
      <c r="L294" s="4">
        <v>0</v>
      </c>
      <c r="M294" s="4">
        <f>E294*51%</f>
        <v>8.16</v>
      </c>
      <c r="N294" s="4">
        <f>E294*55%</f>
        <v>8.8000000000000007</v>
      </c>
      <c r="O294" s="4">
        <f>E294*38%</f>
        <v>6.08</v>
      </c>
      <c r="P294" s="4">
        <f>E294*0.7%</f>
        <v>0.11199999999999999</v>
      </c>
      <c r="Q294" s="4">
        <v>60</v>
      </c>
      <c r="R294" s="3">
        <f>C294/1000*60</f>
        <v>1.2</v>
      </c>
    </row>
    <row r="295" spans="1:18" ht="23.25" customHeight="1" x14ac:dyDescent="0.3">
      <c r="A295" s="36"/>
      <c r="B295" s="1" t="s">
        <v>16</v>
      </c>
      <c r="C295" s="96">
        <v>50</v>
      </c>
      <c r="D295" s="4">
        <f>C295*0.2</f>
        <v>10</v>
      </c>
      <c r="E295" s="4">
        <f>C295-D295</f>
        <v>40</v>
      </c>
      <c r="F295" s="4">
        <f>E295*0.018</f>
        <v>0.72</v>
      </c>
      <c r="G295" s="6">
        <f>E295*0.001</f>
        <v>0.04</v>
      </c>
      <c r="H295" s="4">
        <f>E295*0.047</f>
        <v>1.88</v>
      </c>
      <c r="I295" s="4">
        <f>E295*0.27</f>
        <v>10.8</v>
      </c>
      <c r="J295" s="4">
        <f>E295*0.03%</f>
        <v>1.1999999999999999E-2</v>
      </c>
      <c r="K295" s="4">
        <f>E295*45%</f>
        <v>18</v>
      </c>
      <c r="L295" s="4">
        <v>0</v>
      </c>
      <c r="M295" s="4">
        <f>E295*48%</f>
        <v>19.2</v>
      </c>
      <c r="N295" s="4">
        <f>E295*31%</f>
        <v>12.4</v>
      </c>
      <c r="O295" s="4">
        <f>E295*16%</f>
        <v>6.4</v>
      </c>
      <c r="P295" s="4">
        <f>E295*0.6%</f>
        <v>0.24</v>
      </c>
      <c r="Q295" s="4">
        <v>30</v>
      </c>
      <c r="R295" s="3">
        <f>C295/1000*30</f>
        <v>1.5</v>
      </c>
    </row>
    <row r="296" spans="1:18" ht="18.75" x14ac:dyDescent="0.3">
      <c r="A296" s="26"/>
      <c r="B296" s="1" t="s">
        <v>71</v>
      </c>
      <c r="C296" s="96">
        <v>50</v>
      </c>
      <c r="D296" s="4">
        <f>C296*0.2</f>
        <v>10</v>
      </c>
      <c r="E296" s="4">
        <f>C296-D296</f>
        <v>40</v>
      </c>
      <c r="F296" s="4">
        <f>E296*0.015</f>
        <v>0.6</v>
      </c>
      <c r="G296" s="4">
        <f>E296*0.001</f>
        <v>0.04</v>
      </c>
      <c r="H296" s="4">
        <f>E296*0.091</f>
        <v>3.6399999999999997</v>
      </c>
      <c r="I296" s="4">
        <f>E296*0.42</f>
        <v>16.8</v>
      </c>
      <c r="J296" s="4">
        <f>E296*0.02%</f>
        <v>8.0000000000000002E-3</v>
      </c>
      <c r="K296" s="4">
        <f>E296*10%</f>
        <v>4</v>
      </c>
      <c r="L296" s="4">
        <v>0</v>
      </c>
      <c r="M296" s="4">
        <f>E296*37%</f>
        <v>14.8</v>
      </c>
      <c r="N296" s="4">
        <f>E296*43%</f>
        <v>17.2</v>
      </c>
      <c r="O296" s="4">
        <f>E296*22%</f>
        <v>8.8000000000000007</v>
      </c>
      <c r="P296" s="4">
        <f>E296*1.4%</f>
        <v>0.55999999999999994</v>
      </c>
      <c r="Q296" s="4">
        <v>60</v>
      </c>
      <c r="R296" s="4">
        <f>C296/1000*60</f>
        <v>3</v>
      </c>
    </row>
    <row r="297" spans="1:18" ht="18.75" x14ac:dyDescent="0.3">
      <c r="A297" s="36"/>
      <c r="B297" s="1" t="s">
        <v>17</v>
      </c>
      <c r="C297" s="96">
        <v>5</v>
      </c>
      <c r="D297" s="4">
        <v>0</v>
      </c>
      <c r="E297" s="4">
        <f>C297-D297</f>
        <v>5</v>
      </c>
      <c r="F297" s="4">
        <v>0</v>
      </c>
      <c r="G297" s="6">
        <f>E297*0.999</f>
        <v>4.9950000000000001</v>
      </c>
      <c r="H297" s="4">
        <v>0</v>
      </c>
      <c r="I297" s="4">
        <f>E297*8.99</f>
        <v>44.95</v>
      </c>
      <c r="J297" s="4">
        <f>E297*0.06%</f>
        <v>2.9999999999999996E-3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150</v>
      </c>
      <c r="R297" s="4">
        <f>C297/1000*150</f>
        <v>0.75</v>
      </c>
    </row>
    <row r="298" spans="1:18" ht="18.75" x14ac:dyDescent="0.3">
      <c r="A298" s="36"/>
      <c r="B298" s="3" t="s">
        <v>72</v>
      </c>
      <c r="C298" s="96">
        <v>30</v>
      </c>
      <c r="D298" s="4">
        <f>C298*20%</f>
        <v>6</v>
      </c>
      <c r="E298" s="4">
        <f>C298-D298</f>
        <v>24</v>
      </c>
      <c r="F298" s="4">
        <f>E298*2%</f>
        <v>0.48</v>
      </c>
      <c r="G298" s="4">
        <f>E298*0.4%</f>
        <v>9.6000000000000002E-2</v>
      </c>
      <c r="H298" s="4">
        <f>E298*16.3%</f>
        <v>3.9119999999999999</v>
      </c>
      <c r="I298" s="4">
        <f>E298*80%</f>
        <v>19.200000000000003</v>
      </c>
      <c r="J298" s="4">
        <f>E298*0.12%</f>
        <v>2.8799999999999999E-2</v>
      </c>
      <c r="K298" s="4">
        <f>E298*20%</f>
        <v>4.8000000000000007</v>
      </c>
      <c r="L298" s="4">
        <v>0</v>
      </c>
      <c r="M298" s="4">
        <f>E298*10%</f>
        <v>2.4000000000000004</v>
      </c>
      <c r="N298" s="4">
        <f>E298*58%</f>
        <v>13.919999999999998</v>
      </c>
      <c r="O298" s="4">
        <f>E298*23%</f>
        <v>5.5200000000000005</v>
      </c>
      <c r="P298" s="4">
        <f>E298*0.9%</f>
        <v>0.21600000000000003</v>
      </c>
      <c r="Q298" s="4">
        <v>57</v>
      </c>
      <c r="R298" s="4">
        <f>C298/1000*57</f>
        <v>1.71</v>
      </c>
    </row>
    <row r="299" spans="1:18" ht="18.75" x14ac:dyDescent="0.3">
      <c r="A299" s="36"/>
      <c r="B299" s="26" t="s">
        <v>69</v>
      </c>
      <c r="C299" s="97">
        <f>C298+C297+C296+C295+C294+C293</f>
        <v>160</v>
      </c>
      <c r="D299" s="7">
        <f>SUM(D296:D298)</f>
        <v>16</v>
      </c>
      <c r="E299" s="7">
        <v>250</v>
      </c>
      <c r="F299" s="7">
        <f t="shared" ref="F299:P299" si="38">SUM(F296:F298)</f>
        <v>1.08</v>
      </c>
      <c r="G299" s="7">
        <f t="shared" si="38"/>
        <v>5.1310000000000002</v>
      </c>
      <c r="H299" s="7">
        <f t="shared" si="38"/>
        <v>7.5519999999999996</v>
      </c>
      <c r="I299" s="7">
        <f t="shared" si="38"/>
        <v>80.95</v>
      </c>
      <c r="J299" s="7">
        <f t="shared" si="38"/>
        <v>3.9800000000000002E-2</v>
      </c>
      <c r="K299" s="7">
        <f t="shared" si="38"/>
        <v>8.8000000000000007</v>
      </c>
      <c r="L299" s="7">
        <f t="shared" si="38"/>
        <v>0</v>
      </c>
      <c r="M299" s="7">
        <f t="shared" si="38"/>
        <v>17.200000000000003</v>
      </c>
      <c r="N299" s="7">
        <f t="shared" si="38"/>
        <v>31.119999999999997</v>
      </c>
      <c r="O299" s="7">
        <f t="shared" si="38"/>
        <v>14.32</v>
      </c>
      <c r="P299" s="7">
        <f t="shared" si="38"/>
        <v>0.77600000000000002</v>
      </c>
      <c r="Q299" s="7"/>
      <c r="R299" s="7">
        <f>SUM(R292:R298)</f>
        <v>9.7100000000000009</v>
      </c>
    </row>
    <row r="300" spans="1:18" ht="18.75" x14ac:dyDescent="0.3">
      <c r="A300" s="36"/>
      <c r="B300" s="149" t="s">
        <v>109</v>
      </c>
      <c r="C300" s="150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2"/>
    </row>
    <row r="301" spans="1:18" ht="18.75" x14ac:dyDescent="0.3">
      <c r="A301" s="36"/>
      <c r="B301" s="33" t="s">
        <v>69</v>
      </c>
      <c r="C301" s="7">
        <v>50</v>
      </c>
      <c r="D301" s="7">
        <v>0</v>
      </c>
      <c r="E301" s="7">
        <v>50</v>
      </c>
      <c r="F301" s="7">
        <f>E301*7.9%</f>
        <v>3.95</v>
      </c>
      <c r="G301" s="7">
        <f>E301*1%</f>
        <v>0.5</v>
      </c>
      <c r="H301" s="7">
        <f>E301*48.1%</f>
        <v>24.05</v>
      </c>
      <c r="I301" s="7">
        <f>E301*239%</f>
        <v>119.5</v>
      </c>
      <c r="J301" s="7">
        <f>E301*0.16%</f>
        <v>0.08</v>
      </c>
      <c r="K301" s="7">
        <v>0</v>
      </c>
      <c r="L301" s="7">
        <v>0</v>
      </c>
      <c r="M301" s="7">
        <f>E301*23%</f>
        <v>11.5</v>
      </c>
      <c r="N301" s="7">
        <f>E301*87%</f>
        <v>43.5</v>
      </c>
      <c r="O301" s="7">
        <f>E301*33%</f>
        <v>16.5</v>
      </c>
      <c r="P301" s="7">
        <f>E301*2%</f>
        <v>1</v>
      </c>
      <c r="Q301" s="7">
        <v>50</v>
      </c>
      <c r="R301" s="7">
        <f>C301/1000*50</f>
        <v>2.5</v>
      </c>
    </row>
    <row r="302" spans="1:18" ht="18.75" x14ac:dyDescent="0.3">
      <c r="A302" s="36"/>
      <c r="B302" s="133" t="s">
        <v>115</v>
      </c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5"/>
    </row>
    <row r="303" spans="1:18" ht="18.75" x14ac:dyDescent="0.3">
      <c r="A303" s="36"/>
      <c r="B303" s="4" t="s">
        <v>67</v>
      </c>
      <c r="C303" s="4">
        <v>15</v>
      </c>
      <c r="D303" s="4">
        <v>0</v>
      </c>
      <c r="E303" s="4">
        <v>15</v>
      </c>
      <c r="F303" s="4">
        <f>E303*5.2%</f>
        <v>0.78</v>
      </c>
      <c r="G303" s="4">
        <v>0</v>
      </c>
      <c r="H303" s="4">
        <f>E303*55%</f>
        <v>8.25</v>
      </c>
      <c r="I303" s="4">
        <f>E303*234%</f>
        <v>35.099999999999994</v>
      </c>
      <c r="J303" s="4">
        <f>E303*0.1%</f>
        <v>1.4999999999999999E-2</v>
      </c>
      <c r="K303" s="4">
        <f>E303*4%</f>
        <v>0.6</v>
      </c>
      <c r="L303" s="4">
        <v>0</v>
      </c>
      <c r="M303" s="4">
        <f>E303*160%</f>
        <v>24</v>
      </c>
      <c r="N303" s="4">
        <f>E303*146%</f>
        <v>21.9</v>
      </c>
      <c r="O303" s="4">
        <f>E303*105%</f>
        <v>15.75</v>
      </c>
      <c r="P303" s="4">
        <f>E303*3.2%</f>
        <v>0.48</v>
      </c>
      <c r="Q303" s="4">
        <v>350</v>
      </c>
      <c r="R303" s="4">
        <f>C303/1000*350</f>
        <v>5.25</v>
      </c>
    </row>
    <row r="304" spans="1:18" ht="18.75" x14ac:dyDescent="0.3">
      <c r="A304" s="36"/>
      <c r="B304" s="4" t="s">
        <v>68</v>
      </c>
      <c r="C304" s="4">
        <v>10</v>
      </c>
      <c r="D304" s="4">
        <v>0</v>
      </c>
      <c r="E304" s="4">
        <v>10</v>
      </c>
      <c r="F304" s="4">
        <v>0</v>
      </c>
      <c r="G304" s="4">
        <v>0</v>
      </c>
      <c r="H304" s="4">
        <f>E304*99.8%</f>
        <v>9.98</v>
      </c>
      <c r="I304" s="4">
        <f>E304*379%</f>
        <v>37.9</v>
      </c>
      <c r="J304" s="4">
        <v>0</v>
      </c>
      <c r="K304" s="4">
        <v>0</v>
      </c>
      <c r="L304" s="4">
        <v>0</v>
      </c>
      <c r="M304" s="4">
        <f>E304*2%</f>
        <v>0.2</v>
      </c>
      <c r="N304" s="4">
        <v>0</v>
      </c>
      <c r="O304" s="4">
        <v>0</v>
      </c>
      <c r="P304" s="4">
        <f>E304*0.3%</f>
        <v>0.03</v>
      </c>
      <c r="Q304" s="4">
        <v>60</v>
      </c>
      <c r="R304" s="4">
        <f>C304/1000*60</f>
        <v>0.6</v>
      </c>
    </row>
    <row r="305" spans="1:18" ht="18.75" x14ac:dyDescent="0.3">
      <c r="A305" s="36"/>
      <c r="B305" s="33" t="s">
        <v>69</v>
      </c>
      <c r="C305" s="7">
        <v>25</v>
      </c>
      <c r="D305" s="7">
        <f t="shared" ref="D305:P305" si="39">SUM(D303:D304)</f>
        <v>0</v>
      </c>
      <c r="E305" s="7">
        <v>150</v>
      </c>
      <c r="F305" s="7">
        <f t="shared" si="39"/>
        <v>0.78</v>
      </c>
      <c r="G305" s="7">
        <f t="shared" si="39"/>
        <v>0</v>
      </c>
      <c r="H305" s="7">
        <f t="shared" si="39"/>
        <v>18.23</v>
      </c>
      <c r="I305" s="7">
        <f t="shared" si="39"/>
        <v>73</v>
      </c>
      <c r="J305" s="7">
        <f t="shared" si="39"/>
        <v>1.4999999999999999E-2</v>
      </c>
      <c r="K305" s="7">
        <f t="shared" si="39"/>
        <v>0.6</v>
      </c>
      <c r="L305" s="7">
        <f t="shared" si="39"/>
        <v>0</v>
      </c>
      <c r="M305" s="7">
        <f t="shared" si="39"/>
        <v>24.2</v>
      </c>
      <c r="N305" s="7">
        <f t="shared" si="39"/>
        <v>21.9</v>
      </c>
      <c r="O305" s="7">
        <f t="shared" si="39"/>
        <v>15.75</v>
      </c>
      <c r="P305" s="7">
        <f t="shared" si="39"/>
        <v>0.51</v>
      </c>
      <c r="Q305" s="7"/>
      <c r="R305" s="7">
        <f>SUM(R303:R304)</f>
        <v>5.85</v>
      </c>
    </row>
    <row r="306" spans="1:18" ht="18.75" x14ac:dyDescent="0.3">
      <c r="A306" s="36"/>
      <c r="B306" s="133" t="s">
        <v>119</v>
      </c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5"/>
    </row>
    <row r="307" spans="1:18" ht="18.75" x14ac:dyDescent="0.3">
      <c r="A307" s="36"/>
      <c r="B307" s="33" t="s">
        <v>69</v>
      </c>
      <c r="C307" s="7">
        <v>100</v>
      </c>
      <c r="D307" s="7">
        <v>0</v>
      </c>
      <c r="E307" s="7">
        <f>C307-D307</f>
        <v>100</v>
      </c>
      <c r="F307" s="7">
        <f>E307*0.4%</f>
        <v>0.4</v>
      </c>
      <c r="G307" s="7">
        <f>E307*0.4%</f>
        <v>0.4</v>
      </c>
      <c r="H307" s="7">
        <f>E307*9.8%</f>
        <v>9.8000000000000007</v>
      </c>
      <c r="I307" s="7">
        <f>E307*45%</f>
        <v>45</v>
      </c>
      <c r="J307" s="7">
        <f>E307*0.03%</f>
        <v>0.03</v>
      </c>
      <c r="K307" s="7">
        <f>E307*13%</f>
        <v>13</v>
      </c>
      <c r="L307" s="7">
        <v>0</v>
      </c>
      <c r="M307" s="7">
        <f>E307*16%</f>
        <v>16</v>
      </c>
      <c r="N307" s="7">
        <f>E307*11%</f>
        <v>11</v>
      </c>
      <c r="O307" s="7">
        <f>E307*9%</f>
        <v>9</v>
      </c>
      <c r="P307" s="7">
        <f>E307*2.2%</f>
        <v>2.2000000000000002</v>
      </c>
      <c r="Q307" s="7">
        <v>100</v>
      </c>
      <c r="R307" s="7">
        <f>C307/1000*100</f>
        <v>10</v>
      </c>
    </row>
    <row r="308" spans="1:18" ht="27" customHeight="1" x14ac:dyDescent="0.3">
      <c r="A308" s="40"/>
      <c r="B308" s="167" t="s">
        <v>111</v>
      </c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4"/>
    </row>
    <row r="309" spans="1:18" ht="19.5" customHeight="1" x14ac:dyDescent="0.3">
      <c r="A309" s="40"/>
      <c r="B309" s="33" t="s">
        <v>69</v>
      </c>
      <c r="C309" s="27">
        <v>3</v>
      </c>
      <c r="D309" s="7">
        <v>0</v>
      </c>
      <c r="E309" s="27">
        <f>C309-D309</f>
        <v>3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20</v>
      </c>
      <c r="R309" s="27">
        <f>C309/1000*20</f>
        <v>0.06</v>
      </c>
    </row>
    <row r="310" spans="1:18" ht="38.25" customHeight="1" x14ac:dyDescent="0.35">
      <c r="A310" s="40"/>
      <c r="B310" s="25" t="s">
        <v>69</v>
      </c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>
        <f>R309+R307+R305+R301+R299+R290</f>
        <v>61</v>
      </c>
    </row>
    <row r="311" spans="1:18" ht="35.25" customHeight="1" x14ac:dyDescent="0.35">
      <c r="A311" s="42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</row>
    <row r="312" spans="1:18" ht="35.25" customHeight="1" x14ac:dyDescent="0.3">
      <c r="A312" s="41"/>
    </row>
    <row r="313" spans="1:18" ht="18.75" x14ac:dyDescent="0.3">
      <c r="A313" s="40"/>
      <c r="B313" s="139" t="s">
        <v>0</v>
      </c>
      <c r="C313" s="146" t="s">
        <v>18</v>
      </c>
      <c r="D313" s="143" t="s">
        <v>20</v>
      </c>
      <c r="E313" s="143" t="s">
        <v>19</v>
      </c>
      <c r="F313" s="125" t="s">
        <v>1</v>
      </c>
      <c r="G313" s="125" t="s">
        <v>2</v>
      </c>
      <c r="H313" s="125" t="s">
        <v>3</v>
      </c>
      <c r="I313" s="125" t="s">
        <v>4</v>
      </c>
      <c r="J313" s="140" t="s">
        <v>5</v>
      </c>
      <c r="K313" s="140"/>
      <c r="L313" s="140"/>
      <c r="M313" s="140" t="s">
        <v>6</v>
      </c>
      <c r="N313" s="140"/>
      <c r="O313" s="140"/>
      <c r="P313" s="140"/>
      <c r="Q313" s="136" t="s">
        <v>66</v>
      </c>
      <c r="R313" s="244" t="s">
        <v>121</v>
      </c>
    </row>
    <row r="314" spans="1:18" ht="18.75" x14ac:dyDescent="0.3">
      <c r="A314" s="40"/>
      <c r="B314" s="139"/>
      <c r="C314" s="147"/>
      <c r="D314" s="144"/>
      <c r="E314" s="144"/>
      <c r="F314" s="126"/>
      <c r="G314" s="126"/>
      <c r="H314" s="126"/>
      <c r="I314" s="126"/>
      <c r="J314" s="125" t="s">
        <v>7</v>
      </c>
      <c r="K314" s="141" t="s">
        <v>8</v>
      </c>
      <c r="L314" s="125" t="s">
        <v>9</v>
      </c>
      <c r="M314" s="125" t="s">
        <v>10</v>
      </c>
      <c r="N314" s="125" t="s">
        <v>11</v>
      </c>
      <c r="O314" s="125" t="s">
        <v>12</v>
      </c>
      <c r="P314" s="125" t="s">
        <v>13</v>
      </c>
      <c r="Q314" s="126"/>
      <c r="R314" s="245"/>
    </row>
    <row r="315" spans="1:18" ht="20.25" x14ac:dyDescent="0.3">
      <c r="A315" s="40"/>
      <c r="B315" s="2" t="s">
        <v>112</v>
      </c>
      <c r="C315" s="148"/>
      <c r="D315" s="145"/>
      <c r="E315" s="145"/>
      <c r="F315" s="127"/>
      <c r="G315" s="127"/>
      <c r="H315" s="127"/>
      <c r="I315" s="127"/>
      <c r="J315" s="127"/>
      <c r="K315" s="142"/>
      <c r="L315" s="127"/>
      <c r="M315" s="127"/>
      <c r="N315" s="127"/>
      <c r="O315" s="127"/>
      <c r="P315" s="127"/>
      <c r="Q315" s="127"/>
      <c r="R315" s="246"/>
    </row>
    <row r="316" spans="1:18" ht="21" x14ac:dyDescent="0.35">
      <c r="A316" s="26"/>
      <c r="B316" s="205" t="s">
        <v>138</v>
      </c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2"/>
    </row>
    <row r="317" spans="1:18" ht="18.75" x14ac:dyDescent="0.3">
      <c r="A317" s="26"/>
      <c r="B317" s="3" t="s">
        <v>21</v>
      </c>
      <c r="C317" s="4">
        <v>45</v>
      </c>
      <c r="D317" s="4">
        <v>0</v>
      </c>
      <c r="E317" s="4">
        <f>C317-D317</f>
        <v>45</v>
      </c>
      <c r="F317" s="4">
        <f>E317*12.6%</f>
        <v>5.67</v>
      </c>
      <c r="G317" s="4">
        <f>E317*3.3%</f>
        <v>1.4850000000000001</v>
      </c>
      <c r="H317" s="4">
        <f>E317*62.1%</f>
        <v>27.945</v>
      </c>
      <c r="I317" s="4">
        <f>E317*335%</f>
        <v>150.75</v>
      </c>
      <c r="J317" s="4">
        <f>E317*0.43%</f>
        <v>0.19350000000000001</v>
      </c>
      <c r="K317" s="4">
        <v>0</v>
      </c>
      <c r="L317" s="4">
        <v>0</v>
      </c>
      <c r="M317" s="4">
        <f>E317*20%</f>
        <v>9</v>
      </c>
      <c r="N317" s="4">
        <f>E317*298%</f>
        <v>134.1</v>
      </c>
      <c r="O317" s="4">
        <f>E317*200%</f>
        <v>90</v>
      </c>
      <c r="P317" s="4">
        <f>E317*6.7%</f>
        <v>3.0150000000000001</v>
      </c>
      <c r="Q317" s="4">
        <v>85</v>
      </c>
      <c r="R317" s="24">
        <f>C317/1000*85</f>
        <v>3.8249999999999997</v>
      </c>
    </row>
    <row r="318" spans="1:18" ht="18.75" x14ac:dyDescent="0.3">
      <c r="A318" s="26"/>
      <c r="B318" s="3" t="s">
        <v>22</v>
      </c>
      <c r="C318" s="4">
        <v>10</v>
      </c>
      <c r="D318" s="4">
        <v>0</v>
      </c>
      <c r="E318" s="4">
        <f>C318-D318</f>
        <v>10</v>
      </c>
      <c r="F318" s="4">
        <f>E318*0.5%</f>
        <v>0.05</v>
      </c>
      <c r="G318" s="4">
        <f>E318*82.5%</f>
        <v>8.25</v>
      </c>
      <c r="H318" s="4">
        <f>E318*0.8%</f>
        <v>0.08</v>
      </c>
      <c r="I318" s="4">
        <f>E318*748%</f>
        <v>74.800000000000011</v>
      </c>
      <c r="J318" s="4">
        <v>0</v>
      </c>
      <c r="K318" s="4">
        <v>0</v>
      </c>
      <c r="L318" s="4">
        <f>E318*0.59%</f>
        <v>5.8999999999999997E-2</v>
      </c>
      <c r="M318" s="4">
        <f>E318*12%</f>
        <v>1.2</v>
      </c>
      <c r="N318" s="4">
        <f>E318*19%</f>
        <v>1.9</v>
      </c>
      <c r="O318" s="4">
        <f>E318*0.4%</f>
        <v>0.04</v>
      </c>
      <c r="P318" s="4">
        <f>E318*0.2%</f>
        <v>0.02</v>
      </c>
      <c r="Q318" s="4">
        <v>480</v>
      </c>
      <c r="R318" s="24">
        <f>C318/1000*480</f>
        <v>4.8</v>
      </c>
    </row>
    <row r="319" spans="1:18" ht="18.75" x14ac:dyDescent="0.3">
      <c r="A319" s="26"/>
      <c r="B319" s="26" t="s">
        <v>69</v>
      </c>
      <c r="C319" s="7">
        <f>C318+C317</f>
        <v>55</v>
      </c>
      <c r="D319" s="7">
        <v>0</v>
      </c>
      <c r="E319" s="7">
        <v>110</v>
      </c>
      <c r="F319" s="7">
        <f t="shared" ref="F319:P319" si="40">SUM(F317:F318)</f>
        <v>5.72</v>
      </c>
      <c r="G319" s="7">
        <f t="shared" si="40"/>
        <v>9.7349999999999994</v>
      </c>
      <c r="H319" s="7">
        <f t="shared" si="40"/>
        <v>28.024999999999999</v>
      </c>
      <c r="I319" s="7">
        <f t="shared" si="40"/>
        <v>225.55</v>
      </c>
      <c r="J319" s="7">
        <f t="shared" si="40"/>
        <v>0.19350000000000001</v>
      </c>
      <c r="K319" s="7">
        <f t="shared" si="40"/>
        <v>0</v>
      </c>
      <c r="L319" s="7">
        <f t="shared" si="40"/>
        <v>5.8999999999999997E-2</v>
      </c>
      <c r="M319" s="7">
        <f t="shared" si="40"/>
        <v>10.199999999999999</v>
      </c>
      <c r="N319" s="7">
        <f t="shared" si="40"/>
        <v>136</v>
      </c>
      <c r="O319" s="7">
        <f t="shared" si="40"/>
        <v>90.04</v>
      </c>
      <c r="P319" s="7">
        <f t="shared" si="40"/>
        <v>3.0350000000000001</v>
      </c>
      <c r="Q319" s="7"/>
      <c r="R319" s="7">
        <f t="shared" ref="R319" si="41">SUM(R317:R318)</f>
        <v>8.625</v>
      </c>
    </row>
    <row r="320" spans="1:18" ht="20.25" x14ac:dyDescent="0.3">
      <c r="A320" s="40"/>
      <c r="B320" s="199" t="s">
        <v>142</v>
      </c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1"/>
    </row>
    <row r="321" spans="1:18" s="66" customFormat="1" ht="22.5" customHeight="1" x14ac:dyDescent="0.3">
      <c r="A321" s="26"/>
      <c r="B321" s="3" t="s">
        <v>129</v>
      </c>
      <c r="C321" s="4">
        <v>55</v>
      </c>
      <c r="D321" s="4">
        <f>C321*26.4%</f>
        <v>14.520000000000001</v>
      </c>
      <c r="E321" s="4">
        <f>SUM(C321-D321)</f>
        <v>40.479999999999997</v>
      </c>
      <c r="F321" s="4">
        <f>E321*18.6%</f>
        <v>7.5292800000000009</v>
      </c>
      <c r="G321" s="4">
        <f>E321*16%</f>
        <v>6.4767999999999999</v>
      </c>
      <c r="H321" s="4">
        <v>0</v>
      </c>
      <c r="I321" s="4">
        <f>E321*218%</f>
        <v>88.246399999999994</v>
      </c>
      <c r="J321" s="4">
        <f>E321*0.06%</f>
        <v>2.4287999999999997E-2</v>
      </c>
      <c r="K321" s="4">
        <v>0</v>
      </c>
      <c r="L321" s="4">
        <v>0</v>
      </c>
      <c r="M321" s="4">
        <f>E321*9%</f>
        <v>3.6431999999999998</v>
      </c>
      <c r="N321" s="4">
        <f>E321*188%</f>
        <v>76.102399999999989</v>
      </c>
      <c r="O321" s="4">
        <f>E321*22%</f>
        <v>8.9055999999999997</v>
      </c>
      <c r="P321" s="4">
        <f>E321*2.7%</f>
        <v>1.0929600000000002</v>
      </c>
      <c r="Q321" s="4">
        <v>490</v>
      </c>
      <c r="R321" s="4">
        <f>C321/1000*490</f>
        <v>26.95</v>
      </c>
    </row>
    <row r="322" spans="1:18" ht="18.75" x14ac:dyDescent="0.3">
      <c r="A322" s="26"/>
      <c r="B322" s="3" t="s">
        <v>15</v>
      </c>
      <c r="C322" s="4">
        <v>21</v>
      </c>
      <c r="D322" s="4">
        <v>5</v>
      </c>
      <c r="E322" s="4">
        <f>C322-D322</f>
        <v>16</v>
      </c>
      <c r="F322" s="4">
        <f>E322*1.3%</f>
        <v>0.20800000000000002</v>
      </c>
      <c r="G322" s="4">
        <v>0</v>
      </c>
      <c r="H322" s="4">
        <f>E322*7.2%</f>
        <v>1.1520000000000001</v>
      </c>
      <c r="I322" s="4">
        <f>E322*30%</f>
        <v>4.8</v>
      </c>
      <c r="J322" s="4">
        <f>E322*0.06%</f>
        <v>9.5999999999999992E-3</v>
      </c>
      <c r="K322" s="4">
        <f>E322*5%</f>
        <v>0.8</v>
      </c>
      <c r="L322" s="4">
        <v>0</v>
      </c>
      <c r="M322" s="4">
        <f>E322*51%</f>
        <v>8.16</v>
      </c>
      <c r="N322" s="4">
        <f>E322*55%</f>
        <v>8.8000000000000007</v>
      </c>
      <c r="O322" s="4">
        <f>E322*38%</f>
        <v>6.08</v>
      </c>
      <c r="P322" s="4">
        <f>E322*0.7%</f>
        <v>0.11199999999999999</v>
      </c>
      <c r="Q322" s="4">
        <v>60</v>
      </c>
      <c r="R322" s="4">
        <f>C322/1000*60</f>
        <v>1.26</v>
      </c>
    </row>
    <row r="323" spans="1:18" ht="18.75" x14ac:dyDescent="0.3">
      <c r="A323" s="26"/>
      <c r="B323" s="3" t="s">
        <v>73</v>
      </c>
      <c r="C323" s="4">
        <v>21</v>
      </c>
      <c r="D323" s="4">
        <f>C323*0.16</f>
        <v>3.36</v>
      </c>
      <c r="E323" s="4">
        <f>C323-D323</f>
        <v>17.64</v>
      </c>
      <c r="F323" s="4">
        <f>E323*1.4%</f>
        <v>0.24695999999999999</v>
      </c>
      <c r="G323">
        <v>0</v>
      </c>
      <c r="H323" s="4">
        <f>E323*9.1%</f>
        <v>1.60524</v>
      </c>
      <c r="I323" s="4">
        <f>E323*41%</f>
        <v>7.2324000000000002</v>
      </c>
      <c r="J323" s="4">
        <f>E323*0.05%</f>
        <v>8.8199999999999997E-3</v>
      </c>
      <c r="K323" s="4">
        <f>E323*10%</f>
        <v>1.7640000000000002</v>
      </c>
      <c r="L323" s="4">
        <v>0</v>
      </c>
      <c r="M323" s="4">
        <f>E323*31%</f>
        <v>5.4683999999999999</v>
      </c>
      <c r="N323" s="4">
        <f>E323*58%</f>
        <v>10.231199999999999</v>
      </c>
      <c r="O323" s="4">
        <f>E323*14%</f>
        <v>2.4696000000000002</v>
      </c>
      <c r="P323" s="4">
        <f>E323*0.8%</f>
        <v>0.14112</v>
      </c>
      <c r="Q323" s="4">
        <v>40</v>
      </c>
      <c r="R323" s="4">
        <f>C323/1000*40</f>
        <v>0.84000000000000008</v>
      </c>
    </row>
    <row r="324" spans="1:18" ht="18.75" x14ac:dyDescent="0.3">
      <c r="A324" s="36"/>
      <c r="B324" s="29" t="s">
        <v>81</v>
      </c>
      <c r="C324" s="29">
        <v>10</v>
      </c>
      <c r="D324" s="29">
        <v>0</v>
      </c>
      <c r="E324" s="29">
        <f>C324-D324</f>
        <v>10</v>
      </c>
      <c r="F324" s="29">
        <f>E324*7.9%</f>
        <v>0.79</v>
      </c>
      <c r="G324" s="29">
        <f>E324*1%</f>
        <v>0.1</v>
      </c>
      <c r="H324" s="29">
        <f>E324*48.1%</f>
        <v>4.8100000000000005</v>
      </c>
      <c r="I324" s="29">
        <f>E324*239%</f>
        <v>23.900000000000002</v>
      </c>
      <c r="J324" s="29">
        <f>E324*0.16%</f>
        <v>1.6E-2</v>
      </c>
      <c r="K324" s="29">
        <v>0</v>
      </c>
      <c r="L324" s="29">
        <v>0</v>
      </c>
      <c r="M324" s="29">
        <f>E324*23%</f>
        <v>2.3000000000000003</v>
      </c>
      <c r="N324" s="29">
        <f>E324*87%</f>
        <v>8.6999999999999993</v>
      </c>
      <c r="O324" s="29">
        <f>E324*33%</f>
        <v>3.3000000000000003</v>
      </c>
      <c r="P324" s="29">
        <f>E324*2%</f>
        <v>0.2</v>
      </c>
      <c r="Q324" s="29">
        <v>30</v>
      </c>
      <c r="R324" s="29">
        <f>C324/1000*30</f>
        <v>0.3</v>
      </c>
    </row>
    <row r="325" spans="1:18" x14ac:dyDescent="0.25">
      <c r="A325" s="64"/>
      <c r="B325" s="65" t="s">
        <v>26</v>
      </c>
      <c r="C325" s="65">
        <v>3</v>
      </c>
      <c r="D325" s="65">
        <v>0</v>
      </c>
      <c r="E325" s="65">
        <f>SUM(C325:D325)</f>
        <v>3</v>
      </c>
      <c r="F325" s="65">
        <f>E325*1%</f>
        <v>0.03</v>
      </c>
      <c r="G325" s="65">
        <v>0</v>
      </c>
      <c r="H325" s="65">
        <f>E325*3.5%</f>
        <v>0.10500000000000001</v>
      </c>
      <c r="I325" s="65">
        <f>E325*19%</f>
        <v>0.57000000000000006</v>
      </c>
      <c r="J325" s="65">
        <f>E325*0.03%</f>
        <v>8.9999999999999998E-4</v>
      </c>
      <c r="K325" s="65">
        <f>E325*10%</f>
        <v>0.30000000000000004</v>
      </c>
      <c r="L325" s="65">
        <v>0</v>
      </c>
      <c r="M325" s="65">
        <f>C325*7%</f>
        <v>0.21000000000000002</v>
      </c>
      <c r="N325" s="65">
        <f>E325*32%</f>
        <v>0.96</v>
      </c>
      <c r="O325" s="65">
        <f>E325*12%</f>
        <v>0.36</v>
      </c>
      <c r="P325" s="65">
        <f>E325*0.7%</f>
        <v>2.0999999999999998E-2</v>
      </c>
      <c r="Q325" s="65">
        <v>150</v>
      </c>
      <c r="R325" s="65">
        <f>C325/1000*150</f>
        <v>0.45</v>
      </c>
    </row>
    <row r="326" spans="1:18" ht="18.75" x14ac:dyDescent="0.3">
      <c r="A326" s="26"/>
      <c r="B326" s="3" t="s">
        <v>25</v>
      </c>
      <c r="C326" s="4">
        <v>5</v>
      </c>
      <c r="D326" s="4">
        <v>0</v>
      </c>
      <c r="E326" s="4">
        <f>SUM(C326:D326)</f>
        <v>5</v>
      </c>
      <c r="F326" s="4">
        <v>0</v>
      </c>
      <c r="G326" s="6">
        <f>E326*0.999</f>
        <v>4.9950000000000001</v>
      </c>
      <c r="H326" s="4">
        <v>0</v>
      </c>
      <c r="I326" s="4">
        <f>E326*8.99%</f>
        <v>0.44950000000000001</v>
      </c>
      <c r="J326" s="4">
        <f>E326*0.06%</f>
        <v>2.9999999999999996E-3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150</v>
      </c>
      <c r="R326" s="4">
        <f>C326/1000*150</f>
        <v>0.75</v>
      </c>
    </row>
    <row r="327" spans="1:18" s="78" customFormat="1" ht="18.75" x14ac:dyDescent="0.25">
      <c r="A327" s="75"/>
      <c r="B327" s="63" t="s">
        <v>69</v>
      </c>
      <c r="C327" s="76">
        <f t="shared" ref="C327:P327" si="42">SUM(C321:C326)</f>
        <v>115</v>
      </c>
      <c r="D327" s="76">
        <f t="shared" si="42"/>
        <v>22.880000000000003</v>
      </c>
      <c r="E327" s="76">
        <f t="shared" si="42"/>
        <v>92.12</v>
      </c>
      <c r="F327" s="76">
        <f t="shared" si="42"/>
        <v>8.8042400000000001</v>
      </c>
      <c r="G327" s="76">
        <f t="shared" si="42"/>
        <v>11.5718</v>
      </c>
      <c r="H327" s="76">
        <f t="shared" si="42"/>
        <v>7.6722400000000013</v>
      </c>
      <c r="I327" s="76">
        <f t="shared" si="42"/>
        <v>125.19829999999999</v>
      </c>
      <c r="J327" s="76">
        <f t="shared" si="42"/>
        <v>6.2607999999999997E-2</v>
      </c>
      <c r="K327" s="76">
        <f t="shared" si="42"/>
        <v>2.8639999999999999</v>
      </c>
      <c r="L327" s="76">
        <f t="shared" si="42"/>
        <v>0</v>
      </c>
      <c r="M327" s="76">
        <f t="shared" si="42"/>
        <v>19.781600000000001</v>
      </c>
      <c r="N327" s="76">
        <f t="shared" si="42"/>
        <v>104.79359999999998</v>
      </c>
      <c r="O327" s="76">
        <f t="shared" si="42"/>
        <v>21.115200000000002</v>
      </c>
      <c r="P327" s="76">
        <f t="shared" si="42"/>
        <v>1.56708</v>
      </c>
      <c r="Q327" s="76"/>
      <c r="R327" s="76">
        <f t="shared" ref="R327" si="43">SUM(R321:R326)</f>
        <v>30.55</v>
      </c>
    </row>
    <row r="328" spans="1:18" ht="21" x14ac:dyDescent="0.35">
      <c r="A328" s="40"/>
      <c r="B328" s="157" t="s">
        <v>109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5"/>
    </row>
    <row r="329" spans="1:18" ht="18.75" x14ac:dyDescent="0.3">
      <c r="A329" s="40"/>
      <c r="B329" s="33" t="s">
        <v>69</v>
      </c>
      <c r="C329" s="7">
        <v>30</v>
      </c>
      <c r="D329" s="7">
        <v>0</v>
      </c>
      <c r="E329" s="7">
        <v>30</v>
      </c>
      <c r="F329" s="7">
        <f>E329*7.9%</f>
        <v>2.37</v>
      </c>
      <c r="G329" s="7">
        <f>E329*1%</f>
        <v>0.3</v>
      </c>
      <c r="H329" s="7">
        <f>E329*48.1%</f>
        <v>14.430000000000001</v>
      </c>
      <c r="I329" s="7">
        <f>E329*239%</f>
        <v>71.7</v>
      </c>
      <c r="J329" s="7">
        <f>E329*0.16%</f>
        <v>4.8000000000000001E-2</v>
      </c>
      <c r="K329" s="7">
        <v>0</v>
      </c>
      <c r="L329" s="7">
        <v>0</v>
      </c>
      <c r="M329" s="7">
        <f>E329*23%</f>
        <v>6.9</v>
      </c>
      <c r="N329" s="7">
        <f>E329*87%</f>
        <v>26.1</v>
      </c>
      <c r="O329" s="7">
        <f>E329*33%</f>
        <v>9.9</v>
      </c>
      <c r="P329" s="7">
        <f>E329*2%</f>
        <v>0.6</v>
      </c>
      <c r="Q329" s="7">
        <v>50</v>
      </c>
      <c r="R329" s="7">
        <f>C329/1000*50</f>
        <v>1.5</v>
      </c>
    </row>
    <row r="330" spans="1:18" ht="21" x14ac:dyDescent="0.35">
      <c r="A330" s="40"/>
      <c r="B330" s="157" t="s">
        <v>115</v>
      </c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5"/>
    </row>
    <row r="331" spans="1:18" ht="18.75" x14ac:dyDescent="0.3">
      <c r="A331" s="40"/>
      <c r="B331" s="4" t="s">
        <v>67</v>
      </c>
      <c r="C331" s="4">
        <v>15</v>
      </c>
      <c r="D331" s="4">
        <v>0</v>
      </c>
      <c r="E331" s="4">
        <v>15</v>
      </c>
      <c r="F331" s="4">
        <f>E331*5.2%</f>
        <v>0.78</v>
      </c>
      <c r="G331" s="4">
        <v>0</v>
      </c>
      <c r="H331" s="4">
        <f>E331*55%</f>
        <v>8.25</v>
      </c>
      <c r="I331" s="4">
        <f>E331*234%</f>
        <v>35.099999999999994</v>
      </c>
      <c r="J331" s="4">
        <f>E331*0.1%</f>
        <v>1.4999999999999999E-2</v>
      </c>
      <c r="K331" s="4">
        <f>E331*4%</f>
        <v>0.6</v>
      </c>
      <c r="L331" s="4">
        <v>0</v>
      </c>
      <c r="M331" s="4">
        <f>E331*160%</f>
        <v>24</v>
      </c>
      <c r="N331" s="4">
        <f>E331*146%</f>
        <v>21.9</v>
      </c>
      <c r="O331" s="4">
        <f>E331*105%</f>
        <v>15.75</v>
      </c>
      <c r="P331" s="4">
        <f>E331*3.2%</f>
        <v>0.48</v>
      </c>
      <c r="Q331" s="4">
        <v>350</v>
      </c>
      <c r="R331" s="4">
        <f>C331/1000*350</f>
        <v>5.25</v>
      </c>
    </row>
    <row r="332" spans="1:18" ht="18.75" x14ac:dyDescent="0.3">
      <c r="A332" s="40"/>
      <c r="B332" s="4" t="s">
        <v>68</v>
      </c>
      <c r="C332" s="4">
        <v>10</v>
      </c>
      <c r="D332" s="4">
        <v>0</v>
      </c>
      <c r="E332" s="4">
        <v>10</v>
      </c>
      <c r="F332" s="4">
        <v>0</v>
      </c>
      <c r="G332" s="4">
        <v>0</v>
      </c>
      <c r="H332" s="4">
        <f>E332*99.8%</f>
        <v>9.98</v>
      </c>
      <c r="I332" s="4">
        <f>E332*379%</f>
        <v>37.9</v>
      </c>
      <c r="J332" s="4">
        <v>0</v>
      </c>
      <c r="K332" s="4">
        <v>0</v>
      </c>
      <c r="L332" s="4">
        <v>0</v>
      </c>
      <c r="M332" s="4">
        <f>E332*2%</f>
        <v>0.2</v>
      </c>
      <c r="N332" s="4">
        <v>0</v>
      </c>
      <c r="O332" s="4">
        <v>0</v>
      </c>
      <c r="P332" s="4">
        <f>E332*0.3%</f>
        <v>0.03</v>
      </c>
      <c r="Q332" s="4">
        <v>60</v>
      </c>
      <c r="R332" s="4">
        <f>C332/1000*60</f>
        <v>0.6</v>
      </c>
    </row>
    <row r="333" spans="1:18" ht="18.75" x14ac:dyDescent="0.3">
      <c r="A333" s="40"/>
      <c r="B333" s="33" t="s">
        <v>69</v>
      </c>
      <c r="C333" s="7">
        <v>25</v>
      </c>
      <c r="D333" s="7">
        <f t="shared" ref="D333:P333" si="44">SUM(D331:D332)</f>
        <v>0</v>
      </c>
      <c r="E333" s="7">
        <v>150</v>
      </c>
      <c r="F333" s="7">
        <f t="shared" si="44"/>
        <v>0.78</v>
      </c>
      <c r="G333" s="7">
        <f t="shared" si="44"/>
        <v>0</v>
      </c>
      <c r="H333" s="7">
        <f t="shared" si="44"/>
        <v>18.23</v>
      </c>
      <c r="I333" s="7">
        <f t="shared" si="44"/>
        <v>73</v>
      </c>
      <c r="J333" s="7">
        <f t="shared" si="44"/>
        <v>1.4999999999999999E-2</v>
      </c>
      <c r="K333" s="7">
        <f t="shared" si="44"/>
        <v>0.6</v>
      </c>
      <c r="L333" s="7">
        <f t="shared" si="44"/>
        <v>0</v>
      </c>
      <c r="M333" s="7">
        <f t="shared" si="44"/>
        <v>24.2</v>
      </c>
      <c r="N333" s="7">
        <f t="shared" si="44"/>
        <v>21.9</v>
      </c>
      <c r="O333" s="7">
        <f t="shared" si="44"/>
        <v>15.75</v>
      </c>
      <c r="P333" s="7">
        <f t="shared" si="44"/>
        <v>0.51</v>
      </c>
      <c r="Q333" s="7"/>
      <c r="R333" s="7">
        <f>SUM(R331:R332)</f>
        <v>5.85</v>
      </c>
    </row>
    <row r="334" spans="1:18" ht="21" x14ac:dyDescent="0.35">
      <c r="A334" s="40"/>
      <c r="B334" s="157" t="s">
        <v>116</v>
      </c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5"/>
    </row>
    <row r="335" spans="1:18" ht="18.75" x14ac:dyDescent="0.3">
      <c r="A335" s="40"/>
      <c r="B335" s="33" t="s">
        <v>69</v>
      </c>
      <c r="C335" s="7">
        <v>120</v>
      </c>
      <c r="D335" s="7">
        <v>0</v>
      </c>
      <c r="E335" s="7">
        <f>C335-D335</f>
        <v>120</v>
      </c>
      <c r="F335" s="7">
        <f>E335*0.8%</f>
        <v>0.96</v>
      </c>
      <c r="G335" s="7">
        <f>E335*0.3%</f>
        <v>0.36</v>
      </c>
      <c r="H335" s="7">
        <f>E335*8.1%</f>
        <v>9.7200000000000006</v>
      </c>
      <c r="I335" s="7">
        <f>E335*40%</f>
        <v>48</v>
      </c>
      <c r="J335" s="7">
        <f>E335*0.06%</f>
        <v>7.1999999999999995E-2</v>
      </c>
      <c r="K335" s="7">
        <f>E335*38%</f>
        <v>45.6</v>
      </c>
      <c r="L335" s="7">
        <v>0</v>
      </c>
      <c r="M335" s="7">
        <f>E335*35%</f>
        <v>42</v>
      </c>
      <c r="N335" s="7">
        <f>E335*17%</f>
        <v>20.400000000000002</v>
      </c>
      <c r="O335" s="7">
        <f>E335*35%</f>
        <v>42</v>
      </c>
      <c r="P335" s="7">
        <f>E335*0.1%</f>
        <v>0.12</v>
      </c>
      <c r="Q335" s="7">
        <v>120</v>
      </c>
      <c r="R335" s="7">
        <f>C335/1000*120</f>
        <v>14.399999999999999</v>
      </c>
    </row>
    <row r="336" spans="1:18" ht="21" x14ac:dyDescent="0.35">
      <c r="A336" s="40"/>
      <c r="B336" s="162" t="s">
        <v>111</v>
      </c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4"/>
    </row>
    <row r="337" spans="1:18" ht="18.75" x14ac:dyDescent="0.3">
      <c r="A337" s="40"/>
      <c r="B337" s="33" t="s">
        <v>69</v>
      </c>
      <c r="C337" s="27">
        <v>3</v>
      </c>
      <c r="D337" s="7">
        <v>0</v>
      </c>
      <c r="E337" s="27">
        <f>C337-D337</f>
        <v>3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20</v>
      </c>
      <c r="R337" s="27">
        <f>C337/1000*20</f>
        <v>0.06</v>
      </c>
    </row>
    <row r="338" spans="1:18" ht="23.25" x14ac:dyDescent="0.35">
      <c r="A338" s="28"/>
      <c r="B338" s="25" t="s">
        <v>69</v>
      </c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>
        <f>R337+R335+R333+R329+R327+R319</f>
        <v>60.984999999999999</v>
      </c>
    </row>
  </sheetData>
  <mergeCells count="314">
    <mergeCell ref="B122:R122"/>
    <mergeCell ref="B131:R131"/>
    <mergeCell ref="B163:R163"/>
    <mergeCell ref="B188:R188"/>
    <mergeCell ref="A207:R207"/>
    <mergeCell ref="B247:R247"/>
    <mergeCell ref="B316:R316"/>
    <mergeCell ref="B259:R259"/>
    <mergeCell ref="B264:R264"/>
    <mergeCell ref="Q256:Q258"/>
    <mergeCell ref="L257:L258"/>
    <mergeCell ref="M257:M258"/>
    <mergeCell ref="N257:N258"/>
    <mergeCell ref="O257:O258"/>
    <mergeCell ref="P257:P258"/>
    <mergeCell ref="R256:R258"/>
    <mergeCell ref="C225:C227"/>
    <mergeCell ref="D225:D227"/>
    <mergeCell ref="E225:E227"/>
    <mergeCell ref="B228:R228"/>
    <mergeCell ref="B234:R234"/>
    <mergeCell ref="C256:C258"/>
    <mergeCell ref="D256:D258"/>
    <mergeCell ref="E256:E258"/>
    <mergeCell ref="Q3:Q5"/>
    <mergeCell ref="Q33:Q35"/>
    <mergeCell ref="R33:R35"/>
    <mergeCell ref="Q88:Q90"/>
    <mergeCell ref="Q119:Q121"/>
    <mergeCell ref="Q144:Q146"/>
    <mergeCell ref="Q176:Q178"/>
    <mergeCell ref="Q200:Q202"/>
    <mergeCell ref="Q225:Q227"/>
    <mergeCell ref="B71:R71"/>
    <mergeCell ref="B74:R74"/>
    <mergeCell ref="B81:R81"/>
    <mergeCell ref="B83:R83"/>
    <mergeCell ref="C64:C66"/>
    <mergeCell ref="E64:E66"/>
    <mergeCell ref="F64:F66"/>
    <mergeCell ref="G64:G66"/>
    <mergeCell ref="H64:H66"/>
    <mergeCell ref="K65:K66"/>
    <mergeCell ref="L65:L66"/>
    <mergeCell ref="G176:G178"/>
    <mergeCell ref="M4:M5"/>
    <mergeCell ref="N4:N5"/>
    <mergeCell ref="J4:J5"/>
    <mergeCell ref="B320:R320"/>
    <mergeCell ref="B328:R328"/>
    <mergeCell ref="B330:R330"/>
    <mergeCell ref="G313:G315"/>
    <mergeCell ref="H313:H315"/>
    <mergeCell ref="I313:I315"/>
    <mergeCell ref="J314:J315"/>
    <mergeCell ref="K314:K315"/>
    <mergeCell ref="L314:L315"/>
    <mergeCell ref="M314:M315"/>
    <mergeCell ref="N314:N315"/>
    <mergeCell ref="O314:O315"/>
    <mergeCell ref="P314:P315"/>
    <mergeCell ref="R313:R315"/>
    <mergeCell ref="J313:L313"/>
    <mergeCell ref="M313:P313"/>
    <mergeCell ref="Q313:Q315"/>
    <mergeCell ref="B313:B314"/>
    <mergeCell ref="B334:R334"/>
    <mergeCell ref="B336:R336"/>
    <mergeCell ref="B147:R147"/>
    <mergeCell ref="B154:R154"/>
    <mergeCell ref="B161:R161"/>
    <mergeCell ref="B167:R167"/>
    <mergeCell ref="B169:R169"/>
    <mergeCell ref="B171:R171"/>
    <mergeCell ref="B179:R179"/>
    <mergeCell ref="B183:R183"/>
    <mergeCell ref="B186:R186"/>
    <mergeCell ref="B193:R193"/>
    <mergeCell ref="B195:R195"/>
    <mergeCell ref="B203:R203"/>
    <mergeCell ref="B211:R211"/>
    <mergeCell ref="R282:R284"/>
    <mergeCell ref="C313:C315"/>
    <mergeCell ref="D313:D315"/>
    <mergeCell ref="E313:E315"/>
    <mergeCell ref="F313:F315"/>
    <mergeCell ref="B241:R241"/>
    <mergeCell ref="B243:R243"/>
    <mergeCell ref="B249:R249"/>
    <mergeCell ref="B251:R251"/>
    <mergeCell ref="F256:F258"/>
    <mergeCell ref="G256:G258"/>
    <mergeCell ref="H256:H258"/>
    <mergeCell ref="I256:I258"/>
    <mergeCell ref="J257:J258"/>
    <mergeCell ref="K257:K258"/>
    <mergeCell ref="D200:D202"/>
    <mergeCell ref="E200:E202"/>
    <mergeCell ref="F200:F202"/>
    <mergeCell ref="G200:G202"/>
    <mergeCell ref="H200:H202"/>
    <mergeCell ref="I200:I202"/>
    <mergeCell ref="L226:L227"/>
    <mergeCell ref="M226:M227"/>
    <mergeCell ref="N226:N227"/>
    <mergeCell ref="B213:R213"/>
    <mergeCell ref="B217:R217"/>
    <mergeCell ref="B219:R219"/>
    <mergeCell ref="R200:R202"/>
    <mergeCell ref="J201:J202"/>
    <mergeCell ref="K201:K202"/>
    <mergeCell ref="L201:L202"/>
    <mergeCell ref="M201:M202"/>
    <mergeCell ref="N201:N202"/>
    <mergeCell ref="O201:O202"/>
    <mergeCell ref="P201:P202"/>
    <mergeCell ref="O226:O227"/>
    <mergeCell ref="P226:P227"/>
    <mergeCell ref="R225:R227"/>
    <mergeCell ref="M225:P225"/>
    <mergeCell ref="H176:H178"/>
    <mergeCell ref="I176:I178"/>
    <mergeCell ref="R176:R178"/>
    <mergeCell ref="J177:J178"/>
    <mergeCell ref="K177:K178"/>
    <mergeCell ref="L177:L178"/>
    <mergeCell ref="M177:M178"/>
    <mergeCell ref="N177:N178"/>
    <mergeCell ref="O177:O178"/>
    <mergeCell ref="P177:P178"/>
    <mergeCell ref="B126:R126"/>
    <mergeCell ref="B129:R129"/>
    <mergeCell ref="B137:R137"/>
    <mergeCell ref="B139:R139"/>
    <mergeCell ref="C144:C146"/>
    <mergeCell ref="D144:D146"/>
    <mergeCell ref="E144:E146"/>
    <mergeCell ref="F144:F146"/>
    <mergeCell ref="G144:G146"/>
    <mergeCell ref="H144:H146"/>
    <mergeCell ref="I144:I146"/>
    <mergeCell ref="R144:R146"/>
    <mergeCell ref="J145:J146"/>
    <mergeCell ref="K145:K146"/>
    <mergeCell ref="L145:L146"/>
    <mergeCell ref="M145:M146"/>
    <mergeCell ref="N145:N146"/>
    <mergeCell ref="O145:O146"/>
    <mergeCell ref="P145:P146"/>
    <mergeCell ref="J144:L144"/>
    <mergeCell ref="L120:L121"/>
    <mergeCell ref="M120:M121"/>
    <mergeCell ref="N120:N121"/>
    <mergeCell ref="O120:O121"/>
    <mergeCell ref="A88:A89"/>
    <mergeCell ref="C88:C90"/>
    <mergeCell ref="R88:R90"/>
    <mergeCell ref="J89:J90"/>
    <mergeCell ref="D88:D90"/>
    <mergeCell ref="E88:E90"/>
    <mergeCell ref="F88:F90"/>
    <mergeCell ref="G88:G90"/>
    <mergeCell ref="H88:H90"/>
    <mergeCell ref="I88:I90"/>
    <mergeCell ref="J88:L88"/>
    <mergeCell ref="M88:P88"/>
    <mergeCell ref="O89:O90"/>
    <mergeCell ref="P89:P90"/>
    <mergeCell ref="P120:P121"/>
    <mergeCell ref="J119:L119"/>
    <mergeCell ref="B308:R308"/>
    <mergeCell ref="M65:M66"/>
    <mergeCell ref="N65:N66"/>
    <mergeCell ref="B256:B257"/>
    <mergeCell ref="J256:L256"/>
    <mergeCell ref="M256:P256"/>
    <mergeCell ref="B225:B226"/>
    <mergeCell ref="J225:L225"/>
    <mergeCell ref="C176:C178"/>
    <mergeCell ref="D176:D178"/>
    <mergeCell ref="E176:E178"/>
    <mergeCell ref="F176:F178"/>
    <mergeCell ref="M200:P200"/>
    <mergeCell ref="J176:L176"/>
    <mergeCell ref="M176:P176"/>
    <mergeCell ref="F225:F227"/>
    <mergeCell ref="G225:G227"/>
    <mergeCell ref="H225:H227"/>
    <mergeCell ref="I225:I227"/>
    <mergeCell ref="J226:J227"/>
    <mergeCell ref="K226:K227"/>
    <mergeCell ref="B306:R306"/>
    <mergeCell ref="P65:P66"/>
    <mergeCell ref="K89:K90"/>
    <mergeCell ref="A1:R1"/>
    <mergeCell ref="O4:O5"/>
    <mergeCell ref="P4:P5"/>
    <mergeCell ref="R3:R5"/>
    <mergeCell ref="J200:L200"/>
    <mergeCell ref="B64:B65"/>
    <mergeCell ref="B176:B177"/>
    <mergeCell ref="B200:B201"/>
    <mergeCell ref="B144:B145"/>
    <mergeCell ref="B33:B34"/>
    <mergeCell ref="B88:B89"/>
    <mergeCell ref="B119:B120"/>
    <mergeCell ref="D33:D35"/>
    <mergeCell ref="C34:C35"/>
    <mergeCell ref="E33:E35"/>
    <mergeCell ref="F33:F35"/>
    <mergeCell ref="G33:G35"/>
    <mergeCell ref="H33:H35"/>
    <mergeCell ref="B42:R42"/>
    <mergeCell ref="M64:P64"/>
    <mergeCell ref="L89:L90"/>
    <mergeCell ref="M89:M90"/>
    <mergeCell ref="N89:N90"/>
    <mergeCell ref="L4:L5"/>
    <mergeCell ref="B285:R285"/>
    <mergeCell ref="B291:R291"/>
    <mergeCell ref="B6:R6"/>
    <mergeCell ref="B10:R10"/>
    <mergeCell ref="B20:R20"/>
    <mergeCell ref="B24:R24"/>
    <mergeCell ref="A67:R67"/>
    <mergeCell ref="B76:R76"/>
    <mergeCell ref="A18:R18"/>
    <mergeCell ref="A26:R26"/>
    <mergeCell ref="A28:R28"/>
    <mergeCell ref="M34:M35"/>
    <mergeCell ref="N34:N35"/>
    <mergeCell ref="O34:O35"/>
    <mergeCell ref="P34:P35"/>
    <mergeCell ref="J33:L33"/>
    <mergeCell ref="M33:P33"/>
    <mergeCell ref="B269:R269"/>
    <mergeCell ref="J65:J66"/>
    <mergeCell ref="B91:R91"/>
    <mergeCell ref="B100:R100"/>
    <mergeCell ref="B106:R106"/>
    <mergeCell ref="B108:R108"/>
    <mergeCell ref="B112:R112"/>
    <mergeCell ref="L34:L35"/>
    <mergeCell ref="A36:R36"/>
    <mergeCell ref="A256:A257"/>
    <mergeCell ref="A225:A226"/>
    <mergeCell ref="A176:A177"/>
    <mergeCell ref="A144:A145"/>
    <mergeCell ref="A119:A120"/>
    <mergeCell ref="K4:K5"/>
    <mergeCell ref="J3:L3"/>
    <mergeCell ref="M3:P3"/>
    <mergeCell ref="A3:A4"/>
    <mergeCell ref="B3:B4"/>
    <mergeCell ref="D3:D5"/>
    <mergeCell ref="E3:E5"/>
    <mergeCell ref="C3:C5"/>
    <mergeCell ref="F3:F5"/>
    <mergeCell ref="G3:G5"/>
    <mergeCell ref="H3:H5"/>
    <mergeCell ref="I3:I5"/>
    <mergeCell ref="Q64:Q66"/>
    <mergeCell ref="R64:R66"/>
    <mergeCell ref="B114:R114"/>
    <mergeCell ref="C119:C121"/>
    <mergeCell ref="D119:D121"/>
    <mergeCell ref="B51:R51"/>
    <mergeCell ref="B53:R53"/>
    <mergeCell ref="B57:R57"/>
    <mergeCell ref="B59:R59"/>
    <mergeCell ref="D64:D66"/>
    <mergeCell ref="B135:R135"/>
    <mergeCell ref="M119:P119"/>
    <mergeCell ref="H282:H284"/>
    <mergeCell ref="I282:I284"/>
    <mergeCell ref="J283:J284"/>
    <mergeCell ref="O65:O66"/>
    <mergeCell ref="I64:I66"/>
    <mergeCell ref="B271:R271"/>
    <mergeCell ref="B273:R273"/>
    <mergeCell ref="B275:R275"/>
    <mergeCell ref="B277:R277"/>
    <mergeCell ref="E119:E121"/>
    <mergeCell ref="F119:F121"/>
    <mergeCell ref="G119:G121"/>
    <mergeCell ref="H119:H121"/>
    <mergeCell ref="I119:I121"/>
    <mergeCell ref="R119:R121"/>
    <mergeCell ref="J120:J121"/>
    <mergeCell ref="K120:K121"/>
    <mergeCell ref="I33:I35"/>
    <mergeCell ref="A200:A201"/>
    <mergeCell ref="C200:C202"/>
    <mergeCell ref="B302:R302"/>
    <mergeCell ref="Q282:Q284"/>
    <mergeCell ref="B282:B283"/>
    <mergeCell ref="J282:L282"/>
    <mergeCell ref="M282:P282"/>
    <mergeCell ref="K283:K284"/>
    <mergeCell ref="L283:L284"/>
    <mergeCell ref="M283:M284"/>
    <mergeCell ref="N283:N284"/>
    <mergeCell ref="O283:O284"/>
    <mergeCell ref="P283:P284"/>
    <mergeCell ref="D282:D284"/>
    <mergeCell ref="C282:C284"/>
    <mergeCell ref="E282:E284"/>
    <mergeCell ref="F282:F284"/>
    <mergeCell ref="G282:G284"/>
    <mergeCell ref="B300:R300"/>
    <mergeCell ref="J34:J35"/>
    <mergeCell ref="K34:K35"/>
    <mergeCell ref="J64:L64"/>
    <mergeCell ref="M144:P144"/>
  </mergeCells>
  <phoneticPr fontId="21" type="noConversion"/>
  <pageMargins left="0.19685039370078741" right="0.19685039370078741" top="0.19685039370078741" bottom="0.19685039370078741" header="0" footer="0"/>
  <pageSetup paperSize="258" scale="75" fitToHeight="0" orientation="landscape" r:id="rId1"/>
  <rowBreaks count="11" manualBreakCount="11">
    <brk id="30" max="16383" man="1"/>
    <brk id="61" max="16383" man="1"/>
    <brk id="85" max="16383" man="1"/>
    <brk id="116" max="16383" man="1"/>
    <brk id="141" max="16383" man="1"/>
    <brk id="173" max="16383" man="1"/>
    <brk id="197" max="16383" man="1"/>
    <brk id="222" max="16383" man="1"/>
    <brk id="253" max="16383" man="1"/>
    <brk id="279" max="16383" man="1"/>
    <brk id="3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selection activeCell="X21" sqref="X21"/>
    </sheetView>
  </sheetViews>
  <sheetFormatPr defaultRowHeight="15" x14ac:dyDescent="0.2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 x14ac:dyDescent="0.3">
      <c r="A1" s="8" t="s">
        <v>27</v>
      </c>
      <c r="B1" s="9">
        <v>358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  <c r="Z1" s="11"/>
    </row>
    <row r="2" spans="1:2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11" t="s">
        <v>28</v>
      </c>
    </row>
    <row r="3" spans="1:26" ht="55.5" x14ac:dyDescent="0.25">
      <c r="A3" s="12" t="s">
        <v>29</v>
      </c>
      <c r="B3" s="13" t="s">
        <v>30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13" t="s">
        <v>39</v>
      </c>
      <c r="L3" s="13" t="s">
        <v>40</v>
      </c>
      <c r="M3" s="13" t="s">
        <v>41</v>
      </c>
      <c r="N3" s="13" t="s">
        <v>42</v>
      </c>
      <c r="O3" s="13" t="s">
        <v>43</v>
      </c>
      <c r="P3" s="13" t="s">
        <v>44</v>
      </c>
      <c r="Q3" s="13" t="s">
        <v>45</v>
      </c>
      <c r="R3" s="13" t="s">
        <v>46</v>
      </c>
      <c r="S3" s="13" t="s">
        <v>47</v>
      </c>
      <c r="T3" s="13" t="s">
        <v>48</v>
      </c>
      <c r="U3" s="13" t="s">
        <v>49</v>
      </c>
      <c r="V3" s="13" t="s">
        <v>50</v>
      </c>
      <c r="W3" s="13" t="s">
        <v>51</v>
      </c>
      <c r="X3" s="14" t="s">
        <v>52</v>
      </c>
      <c r="Y3" s="14" t="s">
        <v>53</v>
      </c>
      <c r="Z3" s="14"/>
    </row>
    <row r="4" spans="1:26" x14ac:dyDescent="0.25">
      <c r="A4" s="15" t="s">
        <v>54</v>
      </c>
      <c r="B4" s="16"/>
      <c r="C4" s="16">
        <v>1E-3</v>
      </c>
      <c r="D4" s="16"/>
      <c r="E4" s="16"/>
      <c r="F4" s="16"/>
      <c r="G4" s="16"/>
      <c r="H4" s="16"/>
      <c r="I4" s="16">
        <v>0.05</v>
      </c>
      <c r="J4" s="16"/>
      <c r="K4" s="17"/>
      <c r="L4" s="17">
        <v>8.0000000000000002E-3</v>
      </c>
      <c r="M4" s="17"/>
      <c r="N4" s="17"/>
      <c r="O4" s="17"/>
      <c r="P4" s="17"/>
      <c r="Q4" s="17"/>
      <c r="R4" s="17">
        <v>5.0000000000000001E-3</v>
      </c>
      <c r="S4" s="17"/>
      <c r="T4" s="16"/>
      <c r="U4" s="16"/>
      <c r="V4" s="16"/>
      <c r="W4" s="16"/>
      <c r="X4" s="16"/>
      <c r="Y4" s="16"/>
      <c r="Z4" s="16"/>
    </row>
    <row r="5" spans="1:26" x14ac:dyDescent="0.25">
      <c r="A5" s="15" t="s">
        <v>55</v>
      </c>
      <c r="B5" s="16"/>
      <c r="C5" s="16">
        <v>1E-3</v>
      </c>
      <c r="D5" s="16"/>
      <c r="E5" s="16">
        <v>0.04</v>
      </c>
      <c r="F5" s="16">
        <v>1.4999999999999999E-2</v>
      </c>
      <c r="G5" s="16">
        <v>0.02</v>
      </c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>
        <v>0.01</v>
      </c>
      <c r="T5" s="16"/>
      <c r="U5" s="16"/>
      <c r="V5" s="16"/>
      <c r="W5" s="16"/>
      <c r="X5" s="16"/>
      <c r="Y5" s="16">
        <v>0.03</v>
      </c>
      <c r="Z5" s="16"/>
    </row>
    <row r="6" spans="1:26" x14ac:dyDescent="0.25">
      <c r="A6" s="15" t="s">
        <v>56</v>
      </c>
      <c r="B6" s="16">
        <v>0.05</v>
      </c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6"/>
      <c r="U6" s="16"/>
      <c r="V6" s="16"/>
      <c r="W6" s="16"/>
      <c r="X6" s="16"/>
      <c r="Y6" s="16"/>
      <c r="Z6" s="16"/>
    </row>
    <row r="7" spans="1:26" x14ac:dyDescent="0.25">
      <c r="A7" s="15" t="s">
        <v>57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7"/>
      <c r="S7" s="17"/>
      <c r="T7" s="16">
        <v>1.4999999999999999E-2</v>
      </c>
      <c r="U7" s="16">
        <v>0.01</v>
      </c>
      <c r="V7" s="16"/>
      <c r="W7" s="16"/>
      <c r="X7" s="16"/>
      <c r="Y7" s="16"/>
      <c r="Z7" s="16"/>
    </row>
    <row r="8" spans="1:26" x14ac:dyDescent="0.25">
      <c r="A8" s="15" t="s">
        <v>58</v>
      </c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6"/>
      <c r="U8" s="16"/>
      <c r="V8" s="16"/>
      <c r="W8" s="16">
        <v>0.1</v>
      </c>
      <c r="X8" s="16"/>
      <c r="Y8" s="16"/>
      <c r="Z8" s="16"/>
    </row>
    <row r="9" spans="1:26" x14ac:dyDescent="0.25">
      <c r="A9" s="15" t="s">
        <v>59</v>
      </c>
      <c r="B9" s="16"/>
      <c r="C9" s="16">
        <v>1E-3</v>
      </c>
      <c r="D9" s="16">
        <v>0.1</v>
      </c>
      <c r="E9" s="16"/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6"/>
      <c r="U9" s="16"/>
      <c r="V9" s="16"/>
      <c r="W9" s="16"/>
      <c r="X9" s="16"/>
      <c r="Y9" s="16"/>
      <c r="Z9" s="16"/>
    </row>
    <row r="10" spans="1:26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 t="s">
        <v>60</v>
      </c>
      <c r="V10" s="16"/>
      <c r="W10" s="16"/>
      <c r="X10" s="16"/>
      <c r="Y10" s="16"/>
      <c r="Z10" s="16"/>
    </row>
    <row r="11" spans="1:26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6"/>
      <c r="U11" s="16"/>
      <c r="V11" s="16"/>
      <c r="W11" s="16"/>
      <c r="X11" s="16"/>
      <c r="Y11" s="16"/>
      <c r="Z11" s="16"/>
    </row>
    <row r="12" spans="1:26" x14ac:dyDescent="0.2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6"/>
      <c r="U12" s="16"/>
      <c r="V12" s="16"/>
      <c r="W12" s="16"/>
      <c r="X12" s="16"/>
      <c r="Y12" s="16"/>
      <c r="Z12" s="16"/>
    </row>
    <row r="13" spans="1:26" x14ac:dyDescent="0.2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6"/>
      <c r="U13" s="16"/>
      <c r="V13" s="16"/>
      <c r="W13" s="16"/>
      <c r="X13" s="16"/>
      <c r="Y13" s="16"/>
      <c r="Z13" s="16"/>
    </row>
    <row r="14" spans="1:26" x14ac:dyDescent="0.25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6"/>
      <c r="U14" s="16"/>
      <c r="V14" s="16"/>
      <c r="W14" s="16"/>
      <c r="X14" s="16"/>
      <c r="Y14" s="16"/>
      <c r="Z14" s="16"/>
    </row>
    <row r="15" spans="1:26" x14ac:dyDescent="0.25">
      <c r="A15" s="15"/>
      <c r="C15" s="16"/>
      <c r="D15" s="16"/>
      <c r="E15" s="16"/>
      <c r="F15" s="16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6"/>
      <c r="U15" s="16"/>
      <c r="V15" s="16"/>
      <c r="W15" s="16"/>
      <c r="X15" s="16"/>
      <c r="Y15" s="16"/>
      <c r="Z15" s="16"/>
    </row>
    <row r="16" spans="1:26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6"/>
      <c r="U16" s="16"/>
      <c r="V16" s="16"/>
      <c r="W16" s="16"/>
      <c r="X16" s="16"/>
      <c r="Y16" s="16"/>
      <c r="Z16" s="16"/>
    </row>
    <row r="17" spans="1:26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6"/>
      <c r="U17" s="16"/>
      <c r="V17" s="16"/>
      <c r="W17" s="16"/>
      <c r="X17" s="16"/>
      <c r="Y17" s="16"/>
      <c r="Z17" s="16"/>
    </row>
    <row r="18" spans="1:26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6"/>
      <c r="U18" s="16"/>
      <c r="V18" s="16"/>
      <c r="W18" s="16"/>
      <c r="X18" s="16"/>
      <c r="Y18" s="16"/>
      <c r="Z18" s="16"/>
    </row>
    <row r="19" spans="1:26" x14ac:dyDescent="0.25">
      <c r="A19" s="15" t="s">
        <v>61</v>
      </c>
      <c r="B19" s="18">
        <f>SUM(B4:B18)</f>
        <v>0.05</v>
      </c>
      <c r="C19" s="18">
        <f t="shared" ref="C19:X19" si="0">SUM(C4:C18)</f>
        <v>3.0000000000000001E-3</v>
      </c>
      <c r="D19" s="18">
        <f t="shared" si="0"/>
        <v>0.1</v>
      </c>
      <c r="E19" s="18">
        <f t="shared" si="0"/>
        <v>0.04</v>
      </c>
      <c r="F19" s="18">
        <f t="shared" si="0"/>
        <v>1.4999999999999999E-2</v>
      </c>
      <c r="G19" s="18">
        <f t="shared" si="0"/>
        <v>0.02</v>
      </c>
      <c r="H19" s="18">
        <f t="shared" si="0"/>
        <v>0</v>
      </c>
      <c r="I19" s="18">
        <f t="shared" si="0"/>
        <v>0.05</v>
      </c>
      <c r="J19" s="18">
        <f t="shared" si="0"/>
        <v>0</v>
      </c>
      <c r="K19" s="18">
        <f t="shared" si="0"/>
        <v>0</v>
      </c>
      <c r="L19" s="18">
        <f t="shared" si="0"/>
        <v>8.0000000000000002E-3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 t="shared" si="0"/>
        <v>0</v>
      </c>
      <c r="R19" s="18">
        <f t="shared" si="0"/>
        <v>5.0000000000000001E-3</v>
      </c>
      <c r="S19" s="18">
        <f t="shared" si="0"/>
        <v>0.01</v>
      </c>
      <c r="T19" s="18">
        <f t="shared" si="0"/>
        <v>1.4999999999999999E-2</v>
      </c>
      <c r="U19" s="18">
        <f t="shared" si="0"/>
        <v>0.01</v>
      </c>
      <c r="V19" s="18">
        <f t="shared" si="0"/>
        <v>0</v>
      </c>
      <c r="W19" s="18">
        <f t="shared" si="0"/>
        <v>0.1</v>
      </c>
      <c r="X19" s="18">
        <f t="shared" si="0"/>
        <v>0</v>
      </c>
      <c r="Y19" s="18">
        <v>0.04</v>
      </c>
      <c r="Z19" s="18"/>
    </row>
    <row r="20" spans="1:26" x14ac:dyDescent="0.25">
      <c r="A20" s="15" t="s">
        <v>62</v>
      </c>
      <c r="B20" s="19">
        <f>B1*B19</f>
        <v>17.900000000000002</v>
      </c>
      <c r="C20" s="19">
        <f>C19*B1</f>
        <v>1.0740000000000001</v>
      </c>
      <c r="D20" s="19">
        <f>D19*B1</f>
        <v>35.800000000000004</v>
      </c>
      <c r="E20" s="19">
        <f>B1*E19</f>
        <v>14.32</v>
      </c>
      <c r="F20" s="19">
        <f>F19*B1</f>
        <v>5.37</v>
      </c>
      <c r="G20" s="19">
        <f>B1*G19</f>
        <v>7.16</v>
      </c>
      <c r="H20" s="19">
        <f>B1*H19</f>
        <v>0</v>
      </c>
      <c r="I20" s="19">
        <f>B1*I19</f>
        <v>17.900000000000002</v>
      </c>
      <c r="J20" s="19">
        <f>B1*J19</f>
        <v>0</v>
      </c>
      <c r="K20" s="19">
        <f>B1*K19</f>
        <v>0</v>
      </c>
      <c r="L20" s="19">
        <f>B1*L19</f>
        <v>2.8639999999999999</v>
      </c>
      <c r="M20" s="19">
        <f>B1*M19</f>
        <v>0</v>
      </c>
      <c r="N20" s="19">
        <f>B1*N19</f>
        <v>0</v>
      </c>
      <c r="O20" s="19">
        <f>B1*O19</f>
        <v>0</v>
      </c>
      <c r="P20" s="19">
        <f>B1*P19</f>
        <v>0</v>
      </c>
      <c r="Q20" s="19">
        <f>B1*Q19</f>
        <v>0</v>
      </c>
      <c r="R20" s="19">
        <f>B1*R19</f>
        <v>1.79</v>
      </c>
      <c r="S20" s="19">
        <f>B1*S19</f>
        <v>3.58</v>
      </c>
      <c r="T20" s="19">
        <f>B1*T19</f>
        <v>5.37</v>
      </c>
      <c r="U20" s="19">
        <f>B1*U19</f>
        <v>3.58</v>
      </c>
      <c r="V20" s="19">
        <f>B1*V19</f>
        <v>0</v>
      </c>
      <c r="W20" s="19">
        <f>B1*W19</f>
        <v>35.800000000000004</v>
      </c>
      <c r="X20" s="19">
        <f>B11*X19</f>
        <v>0</v>
      </c>
      <c r="Y20" s="19">
        <f>B1*Y19</f>
        <v>14.32</v>
      </c>
      <c r="Z20" s="19"/>
    </row>
    <row r="21" spans="1:26" x14ac:dyDescent="0.25">
      <c r="A21" s="15" t="s">
        <v>63</v>
      </c>
      <c r="B21" s="15">
        <v>50</v>
      </c>
      <c r="C21" s="15">
        <v>20</v>
      </c>
      <c r="D21" s="15">
        <v>240</v>
      </c>
      <c r="E21" s="15">
        <v>60</v>
      </c>
      <c r="F21" s="15">
        <v>40</v>
      </c>
      <c r="G21" s="15">
        <v>60</v>
      </c>
      <c r="H21" s="15">
        <v>30</v>
      </c>
      <c r="I21" s="15">
        <v>60</v>
      </c>
      <c r="J21" s="15">
        <v>55</v>
      </c>
      <c r="K21" s="15">
        <v>60</v>
      </c>
      <c r="L21" s="15">
        <v>270</v>
      </c>
      <c r="M21" s="15">
        <v>80</v>
      </c>
      <c r="N21" s="15">
        <v>500</v>
      </c>
      <c r="O21" s="15">
        <v>500</v>
      </c>
      <c r="P21" s="15">
        <v>80</v>
      </c>
      <c r="Q21" s="15">
        <v>27</v>
      </c>
      <c r="R21" s="15">
        <v>100</v>
      </c>
      <c r="S21" s="15">
        <v>300</v>
      </c>
      <c r="T21" s="15">
        <v>600</v>
      </c>
      <c r="U21" s="15">
        <v>60</v>
      </c>
      <c r="V21" s="15">
        <v>180</v>
      </c>
      <c r="W21" s="15">
        <v>120</v>
      </c>
      <c r="X21" s="15">
        <v>1100</v>
      </c>
      <c r="Y21" s="15">
        <v>60</v>
      </c>
      <c r="Z21" s="15"/>
    </row>
    <row r="22" spans="1:26" ht="15.75" thickBot="1" x14ac:dyDescent="0.3">
      <c r="A22" s="15" t="s">
        <v>64</v>
      </c>
      <c r="B22" s="20">
        <f>B20*B21</f>
        <v>895.00000000000011</v>
      </c>
      <c r="C22" s="20">
        <f t="shared" ref="C22:Y22" si="1">C20*C21</f>
        <v>21.48</v>
      </c>
      <c r="D22" s="20">
        <f t="shared" si="1"/>
        <v>8592.0000000000018</v>
      </c>
      <c r="E22" s="20">
        <f t="shared" si="1"/>
        <v>859.2</v>
      </c>
      <c r="F22" s="20">
        <f t="shared" si="1"/>
        <v>214.8</v>
      </c>
      <c r="G22" s="20">
        <f t="shared" si="1"/>
        <v>429.6</v>
      </c>
      <c r="H22" s="20">
        <f t="shared" si="1"/>
        <v>0</v>
      </c>
      <c r="I22" s="20">
        <f t="shared" si="1"/>
        <v>1074.0000000000002</v>
      </c>
      <c r="J22" s="20">
        <f t="shared" si="1"/>
        <v>0</v>
      </c>
      <c r="K22" s="20">
        <f t="shared" si="1"/>
        <v>0</v>
      </c>
      <c r="L22" s="20">
        <f t="shared" si="1"/>
        <v>773.28</v>
      </c>
      <c r="M22" s="20">
        <f t="shared" si="1"/>
        <v>0</v>
      </c>
      <c r="N22" s="20">
        <f t="shared" si="1"/>
        <v>0</v>
      </c>
      <c r="O22" s="20">
        <f t="shared" si="1"/>
        <v>0</v>
      </c>
      <c r="P22" s="20">
        <f t="shared" si="1"/>
        <v>0</v>
      </c>
      <c r="Q22" s="20">
        <f t="shared" si="1"/>
        <v>0</v>
      </c>
      <c r="R22" s="20">
        <f t="shared" si="1"/>
        <v>179</v>
      </c>
      <c r="S22" s="20">
        <f t="shared" si="1"/>
        <v>1074</v>
      </c>
      <c r="T22" s="20">
        <f t="shared" si="1"/>
        <v>3222</v>
      </c>
      <c r="U22" s="20">
        <f t="shared" si="1"/>
        <v>214.8</v>
      </c>
      <c r="V22" s="20">
        <f t="shared" si="1"/>
        <v>0</v>
      </c>
      <c r="W22" s="20">
        <f t="shared" si="1"/>
        <v>4296.0000000000009</v>
      </c>
      <c r="X22" s="20">
        <f t="shared" si="1"/>
        <v>0</v>
      </c>
      <c r="Y22" s="20">
        <f t="shared" si="1"/>
        <v>859.2</v>
      </c>
      <c r="Z22" s="20"/>
    </row>
    <row r="23" spans="1:26" ht="15.75" thickBot="1" x14ac:dyDescent="0.3">
      <c r="A23" s="10" t="s">
        <v>65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1">
        <f>SUM(B22:X22)/B1</f>
        <v>61.02</v>
      </c>
      <c r="X23" s="22"/>
      <c r="Y23" s="22"/>
      <c r="Z23" s="21"/>
    </row>
    <row r="24" spans="1:26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/>
      <c r="X24" s="23"/>
      <c r="Y24" s="11"/>
      <c r="Z24" s="11"/>
    </row>
    <row r="25" spans="1:2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1"/>
      <c r="Z25" s="11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"/>
  <sheetViews>
    <sheetView zoomScaleSheetLayoutView="130" workbookViewId="0">
      <selection activeCell="D10" sqref="D10:L13"/>
    </sheetView>
  </sheetViews>
  <sheetFormatPr defaultRowHeight="15" x14ac:dyDescent="0.2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 x14ac:dyDescent="0.25">
      <c r="B3" s="257" t="s">
        <v>102</v>
      </c>
      <c r="C3" s="257"/>
      <c r="D3" s="53"/>
      <c r="E3" s="53"/>
      <c r="F3" s="53"/>
      <c r="G3" s="44"/>
      <c r="H3" s="44"/>
      <c r="I3" s="44"/>
      <c r="J3" s="53"/>
      <c r="K3" s="53"/>
      <c r="L3" s="258" t="s">
        <v>99</v>
      </c>
      <c r="M3" s="258"/>
      <c r="N3" s="258"/>
    </row>
    <row r="4" spans="2:14" ht="15.75" x14ac:dyDescent="0.25">
      <c r="B4" s="256" t="s">
        <v>103</v>
      </c>
      <c r="C4" s="256"/>
      <c r="D4" s="256"/>
      <c r="E4" s="256"/>
      <c r="F4" s="256"/>
      <c r="G4" s="44"/>
      <c r="H4" s="44"/>
      <c r="I4" s="44"/>
      <c r="J4" s="258" t="s">
        <v>100</v>
      </c>
      <c r="K4" s="258"/>
      <c r="L4" s="258"/>
      <c r="M4" s="258"/>
      <c r="N4" s="258"/>
    </row>
    <row r="5" spans="2:14" ht="15.75" x14ac:dyDescent="0.25">
      <c r="B5" s="257" t="s">
        <v>122</v>
      </c>
      <c r="C5" s="257"/>
      <c r="D5" s="257"/>
      <c r="E5" s="257"/>
      <c r="F5" s="257"/>
      <c r="G5" s="44"/>
      <c r="H5" s="44"/>
      <c r="I5" s="44"/>
      <c r="J5" s="259" t="s">
        <v>105</v>
      </c>
      <c r="K5" s="259"/>
      <c r="L5" s="259"/>
      <c r="M5" s="259"/>
      <c r="N5" s="259"/>
    </row>
    <row r="6" spans="2:14" ht="16.5" thickBot="1" x14ac:dyDescent="0.3">
      <c r="B6" s="53" t="s">
        <v>104</v>
      </c>
      <c r="C6" s="54"/>
      <c r="D6" s="54"/>
      <c r="E6" s="53"/>
      <c r="F6" s="53"/>
      <c r="G6" s="44"/>
      <c r="H6" s="44"/>
      <c r="I6" s="44"/>
      <c r="J6" s="53"/>
      <c r="K6" s="54"/>
      <c r="L6" s="54"/>
      <c r="M6" s="258" t="s">
        <v>101</v>
      </c>
      <c r="N6" s="258"/>
    </row>
    <row r="10" spans="2:14" x14ac:dyDescent="0.25">
      <c r="D10" s="255" t="s">
        <v>143</v>
      </c>
      <c r="E10" s="255"/>
      <c r="F10" s="255"/>
      <c r="G10" s="255"/>
      <c r="H10" s="255"/>
      <c r="I10" s="255"/>
      <c r="J10" s="255"/>
      <c r="K10" s="255"/>
      <c r="L10" s="255"/>
    </row>
    <row r="11" spans="2:14" x14ac:dyDescent="0.25">
      <c r="D11" s="255"/>
      <c r="E11" s="255"/>
      <c r="F11" s="255"/>
      <c r="G11" s="255"/>
      <c r="H11" s="255"/>
      <c r="I11" s="255"/>
      <c r="J11" s="255"/>
      <c r="K11" s="255"/>
      <c r="L11" s="255"/>
    </row>
    <row r="12" spans="2:14" x14ac:dyDescent="0.25">
      <c r="D12" s="255"/>
      <c r="E12" s="255"/>
      <c r="F12" s="255"/>
      <c r="G12" s="255"/>
      <c r="H12" s="255"/>
      <c r="I12" s="255"/>
      <c r="J12" s="255"/>
      <c r="K12" s="255"/>
      <c r="L12" s="255"/>
    </row>
    <row r="13" spans="2:14" x14ac:dyDescent="0.25">
      <c r="D13" s="255"/>
      <c r="E13" s="255"/>
      <c r="F13" s="255"/>
      <c r="G13" s="255"/>
      <c r="H13" s="255"/>
      <c r="I13" s="255"/>
      <c r="J13" s="255"/>
      <c r="K13" s="255"/>
      <c r="L13" s="255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Лист2</vt:lpstr>
      <vt:lpstr>титул</vt:lpstr>
      <vt:lpstr>меню!Область_печати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2021-04-02T12:20:17Z</dcterms:modified>
</cp:coreProperties>
</file>